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autoCompressPictures="0"/>
  <mc:AlternateContent xmlns:mc="http://schemas.openxmlformats.org/markup-compatibility/2006">
    <mc:Choice Requires="x15">
      <x15ac:absPath xmlns:x15ac="http://schemas.microsoft.com/office/spreadsheetml/2010/11/ac" url="H:\Bescheinigungen\Conflict Minerals_Dodd Frank\"/>
    </mc:Choice>
  </mc:AlternateContent>
  <xr:revisionPtr revIDLastSave="0" documentId="13_ncr:1_{3750EDC2-2F7C-4B3C-B944-FEAC55AEF944}"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E6" i="5"/>
  <c r="S6" i="5"/>
  <c r="T6" i="5"/>
  <c r="V7" i="5"/>
  <c r="J7" i="5"/>
  <c r="E7" i="5"/>
  <c r="S7" i="5"/>
  <c r="T7" i="5"/>
  <c r="V8" i="5"/>
  <c r="J8" i="5"/>
  <c r="E8" i="5"/>
  <c r="S8" i="5"/>
  <c r="T8" i="5"/>
  <c r="V9" i="5"/>
  <c r="J9" i="5"/>
  <c r="E9" i="5"/>
  <c r="S9" i="5"/>
  <c r="T9" i="5"/>
  <c r="V10" i="5"/>
  <c r="J10" i="5"/>
  <c r="E10" i="5"/>
  <c r="S10" i="5"/>
  <c r="T10" i="5"/>
  <c r="V11" i="5"/>
  <c r="J11" i="5"/>
  <c r="E11" i="5"/>
  <c r="S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I9" i="5"/>
  <c r="R9" i="5"/>
  <c r="F9" i="5"/>
  <c r="R8" i="5"/>
  <c r="H8" i="5"/>
  <c r="I8" i="5"/>
  <c r="F8" i="5"/>
  <c r="H15" i="5"/>
  <c r="J15" i="5"/>
  <c r="I15" i="5"/>
  <c r="F15" i="5"/>
  <c r="R15" i="5"/>
  <c r="H11" i="5"/>
  <c r="R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<sst xmlns="http://schemas.openxmlformats.org/spreadsheetml/2006/main" count="22333" uniqueCount="15801">
  <si>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</si>
  <si>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</si>
  <si>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</si>
  <si>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</si>
  <si>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</si>
  <si>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</si>
  <si>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</si>
  <si>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</si>
  <si>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</si>
  <si>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</si>
  <si>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</si>
  <si>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</si>
  <si>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</si>
  <si>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</si>
  <si>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</si>
  <si>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</si>
  <si>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</si>
  <si>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</si>
  <si>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</si>
  <si>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</si>
  <si>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</si>
  <si>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</si>
  <si>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</si>
  <si>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</si>
  <si>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</si>
  <si>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</si>
  <si>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</si>
  <si>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</si>
  <si>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</si>
  <si>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</si>
  <si>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</si>
  <si>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</si>
  <si>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</si>
  <si>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</si>
  <si>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</si>
  <si>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</si>
  <si>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</si>
  <si>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</si>
  <si>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</si>
  <si>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</si>
  <si>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</si>
  <si>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</si>
  <si>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</si>
  <si>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</si>
  <si>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</si>
  <si>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</si>
  <si>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</si>
  <si>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</si>
  <si>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</si>
  <si>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</si>
  <si>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</si>
  <si>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</si>
  <si>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</si>
  <si>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</si>
  <si>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</si>
  <si>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</si>
  <si>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</si>
  <si>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</si>
  <si>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</si>
  <si>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</si>
  <si>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</si>
  <si>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</si>
  <si>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</si>
  <si>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</si>
  <si>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</si>
  <si>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</si>
  <si>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</si>
  <si>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</si>
  <si>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</si>
  <si>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</si>
  <si>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</si>
  <si>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</si>
  <si>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</si>
  <si>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</si>
  <si>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</si>
  <si>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</si>
  <si>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</si>
  <si>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</si>
  <si>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</si>
  <si>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</si>
  <si>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</si>
  <si>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</si>
  <si>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</si>
  <si>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</si>
  <si>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</si>
  <si>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</si>
  <si>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</si>
  <si>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</si>
  <si>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</si>
  <si>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</si>
  <si>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</si>
  <si>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</si>
  <si>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</si>
  <si>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</si>
  <si>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</si>
  <si>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</si>
  <si>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</si>
  <si>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</si>
  <si>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</si>
  <si>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</si>
  <si>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</si>
  <si>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</si>
  <si>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</si>
  <si>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</si>
  <si>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</si>
  <si>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</si>
  <si>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</si>
  <si>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</si>
  <si>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</si>
  <si>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</si>
  <si>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</si>
  <si>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</si>
  <si>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</si>
  <si>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</si>
  <si>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</si>
  <si>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</si>
  <si>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</si>
  <si>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</si>
  <si>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</si>
  <si>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</si>
  <si>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</si>
  <si>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</si>
  <si>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</si>
  <si>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</si>
  <si>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</si>
  <si>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</si>
  <si>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</si>
  <si>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</si>
  <si>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</si>
  <si>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</si>
  <si>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</si>
  <si>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</si>
  <si>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</si>
  <si>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</si>
  <si>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</si>
  <si>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</si>
  <si>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</si>
  <si>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</si>
  <si>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</si>
  <si>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</si>
  <si>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</si>
  <si>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</si>
  <si>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</si>
  <si>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</si>
  <si>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</si>
  <si>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</si>
  <si>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</si>
  <si>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</si>
  <si>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</si>
  <si>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</si>
  <si>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</si>
  <si>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</si>
  <si>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</si>
  <si>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</si>
  <si>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</si>
  <si>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</si>
  <si>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</si>
  <si>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</si>
  <si>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</si>
  <si>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</si>
  <si>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</si>
  <si>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</si>
  <si>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</si>
  <si>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</si>
  <si>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</si>
  <si>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</si>
  <si>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</si>
  <si>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</si>
  <si>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</si>
  <si>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</si>
  <si>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</si>
  <si>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</si>
  <si>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</si>
  <si>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</si>
  <si>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</si>
  <si>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</si>
  <si>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</si>
  <si>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</si>
  <si>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</si>
  <si>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</si>
  <si>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</si>
  <si>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</si>
  <si>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</si>
  <si>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</si>
  <si>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</si>
  <si>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</si>
  <si>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</si>
  <si>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</si>
  <si>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</si>
  <si>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</si>
  <si>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</si>
  <si>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</si>
  <si>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</si>
  <si>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</si>
  <si>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</si>
  <si>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</si>
  <si>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</si>
  <si>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</si>
  <si>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</si>
  <si>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</si>
  <si>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</si>
  <si>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</si>
  <si>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</si>
  <si>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</si>
  <si>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</si>
  <si>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</si>
  <si>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</si>
  <si>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</si>
  <si>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</si>
  <si>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</si>
  <si>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</si>
  <si>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</si>
  <si>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</si>
  <si>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</si>
  <si>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</si>
  <si>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</si>
  <si>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</si>
  <si>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</si>
  <si>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</si>
  <si>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</si>
  <si>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</si>
  <si>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</si>
  <si>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</si>
  <si>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</si>
  <si>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</si>
  <si>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</si>
  <si>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</si>
  <si>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</si>
  <si>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</si>
  <si>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</si>
  <si>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</si>
  <si>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</si>
  <si>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</si>
  <si>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</si>
  <si>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</si>
  <si>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</si>
  <si>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</si>
  <si>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</si>
  <si>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</si>
  <si>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</si>
  <si>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</si>
  <si>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</si>
  <si>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</si>
  <si>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</si>
  <si>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</si>
  <si>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</si>
  <si>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</si>
  <si>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</si>
  <si>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</si>
  <si>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</si>
  <si>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</si>
  <si>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</si>
  <si>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</si>
  <si>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</si>
  <si>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</si>
  <si>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</si>
  <si>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</si>
  <si>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</si>
  <si>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</si>
  <si>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</si>
  <si>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</si>
  <si>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</si>
  <si>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</si>
  <si>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</si>
  <si>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</si>
  <si>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</si>
  <si>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</si>
  <si>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</si>
  <si>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</si>
  <si>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</si>
  <si>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</si>
  <si>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</si>
  <si>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</si>
  <si>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</si>
  <si>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</si>
  <si>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</si>
  <si>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</si>
  <si>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</si>
  <si>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</si>
  <si>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</si>
  <si>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</si>
  <si>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</si>
  <si>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</si>
  <si>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</si>
  <si>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</si>
  <si>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</si>
  <si>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</si>
  <si>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</si>
  <si>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</si>
  <si>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</si>
  <si>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</si>
  <si>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</si>
  <si>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</si>
  <si>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</si>
  <si>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</si>
  <si>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</si>
  <si>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</si>
  <si>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</si>
  <si>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</si>
  <si>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</si>
  <si>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</si>
  <si>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</si>
  <si>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</si>
  <si>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</si>
  <si>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</si>
  <si>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</si>
  <si>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</si>
  <si>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</si>
  <si>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</si>
  <si>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</si>
  <si>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</si>
  <si>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</si>
  <si>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</si>
  <si>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</si>
  <si>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</si>
  <si>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</si>
  <si>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</si>
  <si>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</si>
  <si>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</si>
  <si>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</si>
  <si>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</si>
  <si>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</si>
  <si>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</si>
  <si>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</si>
  <si>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</si>
  <si>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</si>
  <si>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</si>
  <si>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</si>
  <si>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</si>
  <si>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</si>
  <si>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</si>
  <si>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</si>
  <si>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</si>
  <si>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</si>
  <si>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</si>
  <si>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</si>
  <si>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</si>
  <si>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</si>
  <si>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</si>
  <si>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</si>
  <si>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</si>
  <si>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</si>
  <si>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</si>
  <si>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</si>
  <si>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</si>
  <si>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</si>
  <si>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</si>
  <si>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</si>
  <si>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</si>
  <si>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</si>
  <si>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</si>
  <si>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</si>
  <si>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</si>
  <si>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</si>
  <si>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</si>
  <si>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</si>
  <si>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</si>
  <si>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</si>
  <si>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</si>
  <si>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</si>
  <si>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</si>
  <si>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</si>
  <si>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</si>
  <si>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</si>
  <si>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</si>
  <si>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</si>
  <si>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</si>
  <si>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</si>
  <si>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</si>
  <si>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</si>
  <si>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</si>
  <si>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</si>
  <si>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</si>
  <si>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</si>
  <si>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</si>
  <si>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</si>
  <si>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</si>
  <si>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</si>
  <si>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</si>
  <si>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</si>
  <si>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</si>
  <si>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</si>
  <si>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</si>
  <si>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</si>
  <si>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</si>
  <si>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</si>
  <si>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</si>
  <si>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</si>
  <si>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</si>
  <si>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</si>
  <si>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</si>
  <si>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</si>
  <si>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</si>
  <si>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</si>
  <si>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</si>
  <si>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</si>
  <si>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</si>
  <si>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</si>
  <si>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</si>
  <si>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</si>
  <si>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</si>
  <si>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</si>
  <si>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</si>
  <si>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</si>
  <si>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</si>
  <si>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</si>
  <si>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</si>
  <si>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</si>
  <si>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</si>
  <si>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</si>
  <si>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</si>
  <si>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</si>
  <si>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</si>
  <si>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</si>
  <si>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</si>
  <si>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</si>
  <si>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</si>
  <si>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</si>
  <si>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</si>
  <si>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</si>
  <si>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</si>
  <si>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</si>
  <si>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</si>
  <si>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</si>
  <si>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</si>
  <si>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</si>
  <si>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</si>
  <si>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</si>
  <si>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</si>
  <si>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</si>
  <si>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</si>
  <si>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</si>
  <si>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</si>
  <si>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</si>
  <si>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</si>
  <si>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</si>
  <si>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</si>
  <si>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</si>
  <si>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</si>
  <si>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</si>
  <si>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</si>
  <si>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</si>
  <si>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</si>
  <si>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</si>
  <si>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</si>
  <si>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</si>
  <si>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</si>
  <si>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</si>
  <si>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</si>
  <si>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</si>
  <si>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</si>
  <si>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</si>
  <si>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</si>
  <si>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</si>
  <si>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</si>
  <si>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</si>
  <si>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</si>
  <si>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</si>
  <si>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</si>
  <si>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</si>
  <si>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</si>
  <si>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</si>
  <si>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</si>
  <si>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</si>
  <si>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</si>
  <si>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</si>
  <si>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</si>
  <si>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</si>
  <si>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</si>
  <si>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</si>
  <si>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</si>
  <si>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</si>
  <si>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</si>
  <si>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</si>
  <si>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</si>
  <si>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</si>
  <si>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</si>
  <si>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</si>
  <si>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</si>
  <si>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</si>
  <si>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</si>
  <si>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</si>
  <si>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</si>
  <si>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</si>
  <si>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</si>
  <si>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</si>
  <si>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</si>
  <si>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</si>
  <si>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</si>
  <si>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</si>
  <si>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</si>
  <si>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</si>
  <si>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</si>
  <si>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</si>
  <si>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</si>
  <si>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</si>
  <si>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</si>
  <si>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</si>
  <si>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</si>
  <si>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</si>
  <si>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</si>
  <si>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</si>
  <si>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</si>
  <si>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</si>
  <si>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</si>
  <si>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</si>
  <si>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</si>
  <si>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</si>
  <si>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</si>
  <si>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</si>
  <si>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</si>
  <si>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</si>
  <si>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</si>
  <si>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</si>
  <si>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</si>
  <si>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</si>
  <si>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</si>
  <si>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</si>
  <si>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</si>
  <si>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</si>
  <si>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</si>
  <si>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</si>
  <si>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</si>
  <si>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</si>
  <si>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</si>
  <si>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</si>
  <si>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</si>
  <si>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</si>
  <si>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</si>
  <si>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</si>
  <si>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</si>
  <si>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</si>
  <si>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</si>
  <si>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</si>
  <si>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</si>
  <si>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</si>
  <si>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</si>
  <si>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</si>
  <si>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</si>
  <si>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</si>
  <si>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</si>
  <si>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</si>
  <si>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</si>
  <si>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</si>
  <si>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</si>
  <si>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</si>
  <si>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</si>
  <si>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</si>
  <si>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</si>
  <si>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</si>
  <si>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</si>
  <si>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</si>
  <si>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</si>
  <si>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</si>
  <si>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</si>
  <si>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</si>
  <si>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</si>
  <si>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</si>
  <si>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</si>
  <si>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</si>
  <si>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</si>
  <si>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</si>
  <si>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</si>
  <si>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</si>
  <si>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</si>
  <si>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</si>
  <si>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</si>
  <si>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</si>
  <si>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</si>
  <si>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</si>
  <si>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</si>
  <si>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</si>
  <si>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</si>
  <si>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</si>
  <si>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</si>
  <si>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</si>
  <si>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</si>
  <si>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</si>
  <si>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</si>
  <si>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</si>
  <si>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</si>
  <si>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</si>
  <si>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</si>
  <si>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</si>
  <si>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</si>
  <si>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</si>
  <si>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</si>
  <si>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</si>
  <si>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</si>
  <si>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</si>
  <si>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</si>
  <si>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</si>
  <si>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</si>
  <si>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</si>
  <si>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</si>
  <si>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</si>
  <si>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</si>
  <si>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</si>
  <si>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</si>
  <si>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</si>
  <si>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</si>
  <si>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</si>
  <si>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</si>
  <si>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</si>
  <si>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</si>
  <si>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</si>
  <si>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</si>
  <si>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</si>
  <si>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</si>
  <si>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</si>
  <si>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</si>
  <si>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</si>
  <si>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</si>
  <si>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</si>
  <si>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</si>
  <si>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</si>
  <si>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</si>
  <si>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</si>
  <si>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</si>
  <si>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</si>
  <si>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</si>
  <si>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</si>
  <si>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</si>
  <si>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</si>
  <si>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</si>
  <si>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</si>
  <si>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</si>
  <si>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</si>
  <si>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</si>
  <si>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</si>
  <si>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</si>
  <si>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</si>
  <si>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</si>
  <si>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</si>
  <si>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</si>
  <si>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</si>
  <si>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</si>
  <si>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</si>
  <si>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</si>
  <si>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</si>
  <si>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</si>
  <si>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</si>
  <si>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</si>
  <si>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</si>
  <si>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</si>
  <si>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</si>
  <si>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</si>
  <si>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</si>
  <si>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</si>
  <si>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</si>
  <si>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</si>
  <si>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</si>
  <si>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</si>
  <si>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</si>
  <si>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</si>
  <si>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</si>
  <si>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</si>
  <si>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</si>
  <si>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</si>
  <si>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</si>
  <si>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</si>
  <si>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</si>
  <si>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</si>
  <si>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</si>
  <si>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</si>
  <si>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</si>
  <si>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</si>
  <si>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</si>
  <si>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</si>
  <si>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</si>
  <si>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</si>
  <si>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</si>
  <si>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</si>
  <si>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</si>
  <si>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</si>
  <si>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</si>
  <si>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</si>
  <si>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</si>
  <si>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</si>
  <si>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</si>
  <si>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</si>
  <si>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</si>
  <si>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</si>
  <si>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</si>
  <si>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</si>
  <si>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</si>
  <si>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</si>
  <si>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</si>
  <si>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</si>
  <si>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</si>
  <si>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</si>
  <si>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</si>
  <si>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</si>
  <si>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</si>
  <si>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</si>
  <si>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</si>
  <si>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</si>
  <si>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</si>
  <si>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</si>
  <si>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</si>
  <si>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</si>
  <si>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</si>
  <si>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</si>
  <si>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</si>
  <si>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</si>
  <si>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</si>
  <si>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</si>
  <si>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</si>
  <si>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</si>
  <si>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</si>
  <si>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</si>
  <si>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</si>
  <si>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</si>
  <si>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</si>
  <si>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</si>
  <si>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</si>
  <si>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</si>
  <si>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</si>
  <si>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</si>
  <si>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</si>
  <si>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</si>
  <si>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</si>
  <si>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</si>
  <si>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</si>
  <si>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</si>
  <si>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</si>
  <si>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</si>
  <si>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</si>
  <si>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</si>
  <si>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</si>
  <si>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</si>
  <si>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</si>
  <si>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</si>
  <si>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</si>
  <si>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</si>
  <si>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</si>
  <si>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</si>
  <si>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</si>
  <si>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</si>
  <si>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</si>
  <si>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</si>
  <si>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</si>
  <si>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</si>
  <si>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</si>
  <si>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</si>
  <si>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</si>
  <si>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</si>
  <si>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</si>
  <si>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</si>
  <si>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</si>
  <si>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</si>
  <si>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</si>
  <si>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</si>
  <si>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</si>
  <si>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</si>
  <si>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</si>
  <si>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</si>
  <si>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</si>
  <si>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</si>
  <si>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</si>
  <si>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</si>
  <si>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</si>
  <si>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</si>
  <si>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</si>
  <si>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</si>
  <si>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</si>
  <si>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</si>
  <si>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</si>
  <si>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</si>
  <si>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</si>
  <si>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</si>
  <si>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</si>
  <si>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</si>
  <si>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</si>
  <si>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</si>
  <si>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</si>
  <si>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</si>
  <si>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</si>
  <si>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</si>
  <si>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</si>
  <si>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</si>
  <si>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</si>
  <si>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</si>
  <si>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</si>
  <si>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</si>
  <si>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</si>
  <si>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</si>
  <si>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</si>
  <si>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</si>
  <si>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</si>
  <si>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</si>
  <si>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</si>
  <si>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</si>
  <si>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</si>
  <si>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</si>
  <si>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</si>
  <si>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</si>
  <si>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</si>
  <si>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</si>
  <si>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</si>
  <si>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</si>
  <si>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</si>
  <si>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</si>
  <si>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</si>
  <si>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</si>
  <si>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</si>
  <si>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</si>
  <si>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</si>
  <si>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</si>
  <si>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</si>
  <si>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</si>
  <si>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</si>
  <si>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</si>
  <si>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</si>
  <si>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</si>
  <si>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</si>
  <si>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</si>
  <si>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</si>
  <si>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</si>
  <si>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</si>
  <si>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</si>
  <si>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</si>
  <si>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</si>
  <si>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</si>
  <si>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</si>
  <si>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</si>
  <si>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</si>
  <si>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</si>
  <si>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</si>
  <si>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</si>
  <si>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</si>
  <si>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</si>
  <si>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</si>
  <si>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</si>
  <si>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</si>
  <si>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</si>
  <si>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</si>
  <si>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</si>
  <si>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</si>
  <si>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</si>
  <si>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</si>
  <si>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</si>
  <si>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</si>
  <si>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</si>
  <si>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</si>
  <si>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</si>
  <si>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</si>
  <si>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</si>
  <si>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</si>
  <si>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</si>
  <si>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</si>
  <si>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</si>
  <si>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</si>
  <si>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</si>
  <si>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</si>
  <si>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</si>
  <si>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</si>
  <si>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</si>
  <si>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</si>
  <si>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</si>
  <si>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</si>
  <si>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</si>
  <si>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</si>
  <si>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</si>
  <si>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</si>
  <si>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</si>
  <si>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</si>
  <si>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</si>
  <si>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</si>
  <si>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</si>
  <si>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</si>
  <si>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</si>
  <si>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</si>
  <si>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</si>
  <si>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</si>
  <si>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</si>
  <si>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</si>
  <si>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</si>
  <si>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</si>
  <si>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</si>
  <si>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</si>
  <si>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</si>
  <si>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</si>
  <si>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</si>
  <si>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</si>
  <si>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</si>
  <si>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</si>
  <si>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</si>
  <si>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</si>
  <si>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</si>
  <si>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</si>
  <si>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</si>
  <si>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</si>
  <si>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</si>
  <si>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</si>
  <si>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</si>
  <si>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</si>
  <si>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</si>
  <si>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</si>
  <si>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</si>
  <si>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</si>
  <si>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</si>
  <si>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</si>
  <si>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</si>
  <si>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</si>
  <si>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</si>
  <si>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</si>
  <si>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</si>
  <si>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</si>
  <si>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</si>
  <si>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</si>
  <si>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</si>
  <si>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</si>
  <si>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</si>
  <si>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</si>
  <si>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</si>
  <si>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</si>
  <si>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</si>
  <si>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</si>
  <si>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</si>
  <si>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</si>
  <si>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</si>
  <si>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</si>
  <si>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</si>
  <si>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</si>
  <si>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</si>
  <si>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</si>
  <si>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</si>
  <si>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</si>
  <si>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</si>
  <si>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</si>
  <si>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</si>
  <si>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</si>
  <si>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</si>
  <si>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</si>
  <si>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</si>
  <si>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</si>
  <si>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</si>
  <si>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</si>
  <si>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</si>
  <si>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</si>
  <si>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</si>
  <si>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</si>
  <si>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</si>
  <si>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</si>
  <si>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</si>
  <si>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</si>
  <si>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</si>
  <si>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</si>
  <si>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</si>
  <si>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</si>
  <si>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</si>
  <si>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</si>
  <si>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</si>
  <si>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</si>
  <si>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</si>
  <si>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</si>
  <si>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</si>
  <si>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</si>
  <si>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</si>
  <si>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</si>
  <si>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</si>
  <si>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</si>
  <si>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</si>
  <si>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</si>
  <si>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</si>
  <si>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</si>
  <si>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</si>
  <si>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</si>
  <si>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</si>
  <si>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</si>
  <si>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</si>
  <si>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</si>
  <si>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</si>
  <si>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</si>
  <si>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</si>
  <si>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</si>
  <si>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</si>
  <si>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</si>
  <si>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</si>
  <si>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</si>
  <si>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</si>
  <si>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</si>
  <si>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</si>
  <si>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</si>
  <si>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</si>
  <si>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</si>
  <si>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</si>
  <si>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</si>
  <si>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</si>
  <si>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</si>
  <si>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</si>
  <si>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</si>
  <si>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</si>
  <si>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</si>
  <si>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</si>
  <si>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</si>
  <si>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</si>
  <si>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</si>
  <si>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</si>
  <si>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</si>
  <si>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</si>
  <si>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</si>
  <si>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</si>
  <si>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</si>
  <si>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</si>
  <si>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</si>
  <si>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</si>
  <si>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</si>
  <si>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</si>
  <si>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</si>
  <si>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</si>
  <si>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</si>
  <si>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</si>
  <si>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</si>
  <si>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</si>
  <si>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</si>
  <si>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</si>
  <si>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</si>
  <si>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</si>
  <si>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</si>
  <si>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</si>
  <si>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</si>
  <si>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</si>
  <si>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</si>
  <si>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</si>
  <si>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</si>
  <si>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</si>
  <si>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</si>
  <si>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</si>
  <si>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</si>
  <si>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</si>
  <si>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</si>
  <si>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</si>
  <si>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</si>
  <si>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</si>
  <si>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</si>
  <si>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</si>
  <si>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</si>
  <si>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</si>
  <si>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</si>
  <si>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</si>
  <si>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</si>
  <si>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</si>
  <si>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</si>
  <si>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</si>
  <si>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</si>
  <si>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</si>
  <si>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</si>
  <si>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</si>
  <si>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</si>
  <si>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</si>
  <si>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</si>
  <si>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</si>
  <si>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</si>
  <si>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</si>
  <si>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</si>
  <si>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</si>
  <si>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</si>
  <si>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</si>
  <si>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</si>
  <si>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</si>
  <si>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</si>
  <si>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</si>
  <si>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</si>
  <si>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</si>
  <si>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</si>
  <si>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</si>
  <si>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</si>
  <si>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</si>
  <si>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</si>
  <si>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</si>
  <si>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</si>
  <si>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</si>
  <si>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</si>
  <si>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</si>
  <si>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</si>
  <si>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</si>
  <si>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</si>
  <si>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</si>
  <si>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</si>
  <si>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</si>
  <si>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</si>
  <si>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</si>
  <si>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</si>
  <si>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</si>
  <si>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</si>
  <si>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</si>
  <si>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</si>
  <si>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</si>
  <si>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</si>
  <si>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</si>
  <si>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</si>
  <si>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</si>
  <si>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</si>
  <si>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</si>
  <si>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</si>
  <si>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</si>
  <si>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</si>
  <si>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</si>
  <si>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</si>
  <si>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</si>
  <si>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</si>
  <si>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</si>
  <si>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</si>
  <si>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</si>
  <si>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</si>
  <si>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</si>
  <si>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</si>
  <si>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</si>
  <si>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</si>
  <si>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</si>
  <si>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</si>
  <si>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</si>
  <si>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</si>
  <si>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</si>
  <si>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</si>
  <si>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</si>
  <si>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</si>
  <si>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</si>
  <si>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</si>
  <si>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</si>
  <si>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</si>
  <si>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</si>
  <si>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</si>
  <si>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</si>
  <si>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</si>
  <si>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</si>
  <si>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</si>
  <si>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</si>
  <si>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</si>
  <si>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</si>
  <si>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</si>
  <si>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</si>
  <si>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</si>
  <si>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</si>
  <si>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</si>
  <si>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</si>
  <si>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</si>
  <si>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</si>
  <si>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</si>
  <si>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</si>
  <si>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</si>
  <si>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</si>
  <si>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</si>
  <si>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</si>
  <si>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</si>
  <si>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</si>
  <si>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</si>
  <si>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</si>
  <si>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</si>
  <si>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</si>
  <si>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</si>
  <si>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</si>
  <si>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</si>
  <si>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</si>
  <si>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</si>
  <si>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</si>
  <si>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</si>
  <si>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</si>
  <si>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</si>
  <si>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</si>
  <si>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</si>
  <si>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</si>
  <si>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</si>
  <si>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</si>
  <si>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</si>
  <si>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</si>
  <si>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</si>
  <si>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</si>
  <si>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</si>
  <si>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</si>
  <si>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</si>
  <si>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</si>
  <si>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</si>
  <si>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</si>
  <si>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</si>
  <si>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</si>
  <si>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</si>
  <si>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</si>
  <si>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</si>
  <si>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</si>
  <si>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</si>
  <si>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</si>
  <si>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</si>
  <si>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</si>
  <si>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</si>
  <si>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</si>
  <si>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</si>
  <si>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</si>
  <si>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</si>
  <si>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</si>
  <si>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</si>
  <si>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</si>
  <si>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</si>
  <si>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</si>
  <si>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</si>
  <si>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</si>
  <si>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</si>
  <si>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</si>
  <si>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</si>
  <si>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</si>
  <si>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</si>
  <si>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</si>
  <si>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</si>
  <si>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</si>
  <si>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</si>
  <si>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</si>
  <si>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</si>
  <si>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</si>
  <si>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</si>
  <si>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</si>
  <si>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</si>
  <si>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</si>
  <si>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</si>
  <si>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</si>
  <si>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</si>
  <si>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</si>
  <si>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</si>
  <si>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</si>
  <si>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</si>
  <si>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</si>
  <si>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</si>
  <si>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</si>
  <si>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</si>
  <si>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</si>
  <si>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</si>
  <si>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</si>
  <si>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</si>
  <si>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</si>
  <si>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</si>
  <si>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</si>
  <si>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</si>
  <si>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</si>
  <si>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</si>
  <si>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</si>
  <si>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</si>
  <si>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</si>
  <si>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</si>
  <si>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</si>
  <si>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</si>
  <si>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</si>
  <si>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</si>
  <si>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</si>
  <si>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</si>
  <si>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</si>
  <si>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</si>
  <si>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</si>
  <si>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</si>
  <si>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</si>
  <si>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</si>
  <si>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</si>
  <si>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</si>
  <si>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</si>
  <si>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</si>
  <si>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</si>
  <si>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</si>
  <si>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</si>
  <si>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</si>
  <si>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</si>
  <si>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</si>
  <si>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</si>
  <si>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</si>
  <si>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</si>
  <si>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</si>
  <si>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</si>
  <si>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</si>
  <si>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</si>
  <si>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</si>
  <si>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</si>
  <si>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</si>
  <si>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</si>
  <si>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</si>
  <si>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</si>
  <si>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</si>
  <si>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</si>
  <si>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</si>
  <si>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</si>
  <si>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</si>
  <si>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</si>
  <si>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</si>
  <si>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</si>
  <si>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</si>
  <si>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</si>
  <si>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</si>
  <si>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</si>
  <si>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</si>
  <si>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</si>
  <si>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</si>
  <si>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</si>
  <si>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</si>
  <si>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</si>
  <si>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</si>
  <si>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</si>
  <si>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</si>
  <si>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</si>
  <si>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</si>
  <si>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</si>
  <si>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</si>
  <si>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</si>
  <si>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</si>
  <si>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</si>
  <si>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</si>
  <si>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</si>
  <si>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</si>
  <si>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</si>
  <si>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</si>
  <si>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</si>
  <si>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</si>
  <si>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</si>
  <si>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</si>
  <si>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</si>
  <si>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</si>
  <si>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</si>
  <si>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</si>
  <si>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</si>
  <si>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</si>
  <si>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</si>
  <si>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</si>
  <si>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</si>
  <si>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</si>
  <si>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</si>
  <si>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</si>
  <si>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</si>
  <si>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</si>
  <si>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</si>
  <si>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</si>
  <si>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</si>
  <si>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</si>
  <si>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</si>
  <si>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</si>
  <si>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</si>
  <si>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</si>
  <si>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</si>
  <si>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</si>
  <si>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</si>
  <si>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</si>
  <si>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</si>
  <si>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</si>
  <si>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</si>
  <si>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</si>
  <si>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</si>
  <si>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</si>
  <si>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</si>
  <si>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</si>
  <si>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</si>
  <si>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</si>
  <si>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</si>
  <si>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</si>
  <si>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</si>
  <si>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</si>
  <si>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</si>
  <si>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</si>
  <si>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</si>
  <si>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</si>
  <si>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</si>
  <si>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</si>
  <si>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</si>
  <si>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</si>
  <si>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</si>
  <si>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</si>
  <si>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</si>
  <si>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</si>
  <si>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</si>
  <si>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</si>
  <si>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</si>
  <si>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</si>
  <si>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</si>
  <si>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</si>
  <si>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</si>
  <si>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</si>
  <si>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</si>
  <si>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</si>
  <si>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</si>
  <si>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</si>
  <si>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</si>
  <si>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</si>
  <si>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</si>
  <si>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</si>
  <si>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</si>
  <si>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</si>
  <si>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</si>
  <si>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</si>
  <si>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</si>
  <si>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</si>
  <si>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</si>
  <si>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</si>
  <si>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</si>
  <si>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</si>
  <si>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</si>
  <si>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</si>
  <si>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</si>
  <si>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</si>
  <si>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</si>
  <si>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</si>
  <si>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</si>
  <si>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</si>
  <si>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</si>
  <si>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</si>
  <si>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</si>
  <si>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</si>
  <si>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</si>
  <si>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</si>
  <si>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</si>
  <si>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</si>
  <si>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</si>
  <si>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</si>
  <si>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</si>
  <si>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</si>
  <si>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</si>
  <si>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</si>
  <si>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</si>
  <si>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</si>
  <si>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</si>
  <si>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</si>
  <si>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</si>
  <si>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</si>
  <si>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</si>
  <si>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</si>
  <si>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</si>
  <si>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</si>
  <si>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</si>
  <si>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</si>
  <si>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</si>
  <si>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</si>
  <si>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</si>
  <si>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</si>
  <si>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</si>
  <si>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</si>
  <si>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</si>
  <si>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</si>
  <si>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</si>
  <si>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</si>
  <si>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</si>
  <si>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</si>
  <si>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</si>
  <si>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</si>
  <si>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</si>
  <si>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</si>
  <si>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</si>
  <si>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</si>
  <si>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</si>
  <si>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</si>
  <si>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</si>
  <si>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</si>
  <si>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</si>
  <si>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</si>
  <si>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</si>
  <si>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</si>
  <si>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</si>
  <si>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</si>
  <si>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</si>
  <si>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</si>
  <si>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</si>
  <si>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</si>
  <si>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</si>
  <si>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</si>
  <si>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</si>
  <si>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</si>
  <si>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</si>
  <si>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</si>
  <si>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</si>
  <si>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</si>
  <si>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</si>
  <si>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</si>
  <si>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</si>
  <si>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</si>
  <si>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</si>
  <si>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</si>
  <si>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</si>
  <si>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</si>
  <si>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</si>
  <si>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</si>
  <si>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</si>
  <si>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</si>
  <si>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</si>
  <si>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</si>
  <si>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</si>
  <si>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</si>
  <si>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</si>
  <si>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</si>
  <si>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</si>
  <si>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</si>
  <si>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</si>
  <si>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</si>
  <si>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</si>
  <si>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</si>
  <si>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</si>
  <si>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</si>
  <si>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</si>
  <si>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</si>
  <si>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</si>
  <si>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</si>
  <si>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</si>
  <si>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</si>
  <si>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</si>
  <si>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</si>
  <si>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</si>
  <si>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</si>
  <si>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</si>
  <si>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</si>
  <si>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</si>
  <si>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</si>
  <si>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</si>
  <si>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</si>
  <si>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</si>
  <si>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</si>
  <si>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</si>
  <si>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</si>
  <si>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</si>
  <si>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</si>
  <si>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</si>
  <si>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</si>
  <si>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</si>
  <si>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</si>
  <si>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</si>
  <si>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</si>
  <si>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</si>
  <si>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</si>
  <si>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</si>
  <si>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</si>
  <si>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</si>
  <si>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</si>
  <si>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</si>
  <si>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</si>
  <si>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</si>
  <si>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</si>
  <si>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</si>
  <si>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</si>
  <si>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</si>
  <si>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</si>
  <si>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</si>
  <si>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</si>
  <si>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</si>
  <si>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</si>
  <si>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</si>
  <si>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</si>
  <si>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</si>
  <si>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</si>
  <si>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</si>
  <si>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</si>
  <si>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</si>
  <si>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</si>
  <si>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</si>
  <si>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</si>
  <si>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</si>
  <si>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</si>
  <si>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</si>
  <si>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</si>
  <si>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</si>
  <si>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</si>
  <si>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</si>
  <si>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</si>
  <si>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</si>
  <si>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</si>
  <si>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</si>
  <si>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</si>
  <si>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</si>
  <si>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</si>
  <si>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</si>
  <si>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</si>
  <si>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</si>
  <si>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</si>
  <si>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</si>
  <si>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</si>
  <si>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</si>
  <si>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</si>
  <si>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</si>
  <si>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</si>
  <si>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</si>
  <si>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</si>
  <si>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</si>
  <si>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</si>
  <si>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</si>
  <si>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</si>
  <si>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</si>
  <si>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</si>
  <si>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</si>
  <si>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</si>
  <si>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</si>
  <si>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</si>
  <si>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</si>
  <si>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</si>
  <si>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</si>
  <si>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</si>
  <si>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</si>
  <si>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</si>
  <si>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</si>
  <si>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</si>
  <si>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</si>
  <si>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</si>
  <si>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</si>
  <si>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</si>
  <si>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</si>
  <si>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</si>
  <si>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</si>
  <si>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</si>
  <si>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</si>
  <si>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</si>
  <si>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</si>
  <si>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</si>
  <si>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</si>
  <si>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</si>
  <si>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</si>
  <si>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</si>
  <si>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</si>
  <si>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</si>
  <si>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</si>
  <si>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</si>
  <si>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</si>
  <si>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</si>
  <si>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</si>
  <si>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</si>
  <si>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</si>
  <si>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</si>
  <si>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</si>
  <si>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</si>
  <si>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</si>
  <si>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</si>
  <si>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</si>
  <si>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</si>
  <si>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</si>
  <si>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</si>
  <si>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</si>
  <si>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</si>
  <si>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</si>
  <si>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</si>
  <si>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</si>
  <si>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</si>
  <si>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</si>
  <si>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</si>
  <si>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</si>
  <si>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</si>
  <si>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</si>
  <si>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</si>
  <si>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</si>
  <si>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</si>
  <si>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</si>
  <si>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</si>
  <si>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</si>
  <si>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</si>
  <si>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</si>
  <si>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</si>
  <si>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</si>
  <si>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</si>
  <si>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</si>
  <si>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</si>
  <si>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</si>
  <si>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</si>
  <si>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</si>
  <si>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</si>
  <si>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</si>
  <si>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</si>
  <si>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</si>
  <si>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</si>
  <si>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</si>
  <si>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</si>
  <si>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</si>
  <si>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</si>
  <si>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</si>
  <si>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</si>
  <si>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</si>
  <si>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</si>
  <si>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</si>
  <si>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</si>
  <si>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</si>
  <si>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</si>
  <si>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</si>
  <si>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</si>
  <si>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</si>
  <si>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</si>
  <si>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</si>
  <si>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</si>
  <si>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</si>
  <si>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</si>
  <si>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</si>
  <si>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</si>
  <si>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</si>
  <si>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</si>
  <si>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</si>
  <si>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</si>
  <si>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</si>
  <si>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</si>
  <si>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</si>
  <si>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</si>
  <si>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</si>
  <si>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</si>
  <si>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</si>
  <si>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</si>
  <si>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</si>
  <si>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</si>
  <si>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</si>
  <si>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</si>
  <si>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</si>
  <si>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</si>
  <si>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</si>
  <si>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</si>
  <si>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</si>
  <si>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</si>
  <si>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</si>
  <si>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</si>
  <si>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</si>
  <si>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</si>
  <si>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</si>
  <si>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</si>
  <si>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</si>
  <si>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</si>
  <si>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</si>
  <si>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</si>
  <si>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</si>
  <si>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</si>
  <si>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</si>
  <si>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</si>
  <si>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</si>
  <si>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</si>
  <si>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</si>
  <si>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</si>
  <si>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</si>
  <si>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</si>
  <si>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</si>
  <si>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</si>
  <si>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</si>
  <si>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</si>
  <si>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</si>
  <si>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</si>
  <si>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</si>
  <si>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</si>
  <si>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</si>
  <si>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</si>
  <si>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</si>
  <si>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</si>
  <si>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</si>
  <si>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</si>
  <si>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</si>
  <si>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</si>
  <si>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</si>
  <si>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</si>
  <si>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</si>
  <si>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</si>
  <si>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</si>
  <si>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</si>
  <si>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</si>
  <si>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</si>
  <si>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</si>
  <si>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</si>
  <si>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</si>
  <si>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</si>
  <si>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</si>
  <si>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</si>
  <si>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</si>
  <si>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</si>
  <si>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</si>
  <si>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</si>
  <si>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</si>
  <si>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</si>
  <si>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</si>
  <si>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</si>
  <si>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</si>
  <si>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</si>
  <si>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</si>
  <si>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</si>
  <si>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</si>
  <si>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</si>
  <si>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</si>
  <si>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</si>
  <si>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</si>
  <si>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</si>
  <si>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</si>
  <si>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</si>
  <si>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</si>
  <si>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</si>
  <si>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</si>
  <si>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</si>
  <si>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</si>
  <si>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</si>
  <si>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</si>
  <si>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</si>
  <si>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</si>
  <si>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</si>
  <si>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</si>
  <si>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</si>
  <si>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</si>
  <si>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</si>
  <si>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</si>
  <si>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</si>
  <si>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</si>
  <si>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</si>
  <si>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</si>
  <si>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</si>
  <si>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</si>
  <si>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</si>
  <si>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</si>
  <si>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</si>
  <si>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</si>
  <si>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</si>
  <si>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</si>
  <si>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</si>
  <si>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</si>
  <si>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</si>
  <si>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</si>
  <si>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</si>
  <si>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</si>
  <si>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</si>
  <si>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</si>
  <si>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</si>
  <si>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</si>
  <si>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</si>
  <si>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</si>
  <si>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</si>
  <si>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</si>
  <si>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</si>
  <si>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</si>
  <si>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</si>
  <si>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</si>
  <si>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</si>
  <si>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</si>
  <si>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</si>
  <si>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</si>
  <si>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</si>
  <si>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</si>
  <si>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</si>
  <si>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</si>
  <si>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</si>
  <si>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</si>
  <si>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</si>
  <si>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</si>
  <si>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</si>
  <si>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</si>
  <si>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</si>
  <si>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</si>
  <si>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</si>
  <si>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</si>
  <si>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</si>
  <si>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</si>
  <si>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</si>
  <si>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</si>
  <si>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</si>
  <si>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</si>
  <si>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</si>
  <si>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</si>
  <si>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</si>
  <si>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</si>
  <si>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</si>
  <si>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</si>
  <si>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</si>
  <si>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</si>
  <si>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</si>
  <si>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</si>
  <si>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</si>
  <si>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</si>
  <si>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</si>
  <si>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</si>
  <si>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</si>
  <si>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</si>
  <si>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</si>
  <si>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</si>
  <si>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</si>
  <si>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</si>
  <si>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</si>
  <si>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</si>
  <si>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</si>
  <si>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</si>
  <si>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</si>
  <si>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</si>
  <si>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</si>
  <si>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</si>
  <si>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</si>
  <si>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</si>
  <si>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</si>
  <si>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</si>
  <si>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</si>
  <si>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</si>
  <si>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</si>
  <si>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</si>
  <si>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</si>
  <si>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</si>
  <si>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</si>
  <si>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</si>
  <si>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</si>
  <si>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</si>
  <si>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</si>
  <si>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</si>
  <si>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</si>
  <si>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</si>
  <si>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</si>
  <si>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</si>
  <si>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</si>
  <si>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</si>
  <si>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</si>
  <si>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</si>
  <si>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</si>
  <si>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</si>
  <si>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</si>
  <si>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</si>
  <si>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</si>
  <si>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</si>
  <si>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</si>
  <si>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</si>
  <si>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</si>
  <si>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</si>
  <si>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</si>
  <si>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</si>
  <si>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</si>
  <si>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</si>
  <si>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</si>
  <si>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</si>
  <si>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</si>
  <si>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</si>
  <si>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</si>
  <si>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</si>
  <si>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</si>
  <si>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</si>
  <si>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</si>
  <si>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</si>
  <si>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</si>
  <si>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</si>
  <si>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</si>
  <si>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</si>
  <si>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</si>
  <si>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</si>
  <si>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</si>
  <si>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</si>
  <si>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</si>
  <si>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</si>
  <si>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</si>
  <si>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</si>
  <si>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</si>
  <si>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</si>
  <si>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</si>
  <si>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</si>
  <si>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</si>
  <si>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</si>
  <si>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</si>
  <si>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</si>
  <si>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</si>
  <si>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</si>
  <si>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</si>
  <si>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</si>
  <si>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</si>
  <si>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</si>
  <si>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</si>
  <si>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</si>
  <si>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</si>
  <si>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</si>
  <si>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</si>
  <si>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</si>
  <si>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</si>
  <si>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</si>
  <si>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</si>
  <si>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</si>
  <si>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</si>
  <si>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</si>
  <si>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</si>
  <si>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</si>
  <si>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</si>
  <si>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</si>
  <si>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</si>
  <si>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</si>
  <si>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</si>
  <si>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</si>
  <si>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</si>
  <si>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</si>
  <si>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</si>
  <si>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</si>
  <si>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</si>
  <si>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</si>
  <si>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</si>
  <si>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</si>
  <si>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</si>
  <si>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</si>
  <si>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</si>
  <si>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</si>
  <si>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</si>
  <si>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</si>
  <si>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</si>
  <si>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</si>
  <si>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</si>
  <si>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</si>
  <si>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</si>
  <si>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</si>
  <si>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</si>
  <si>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</si>
  <si>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</si>
  <si>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</si>
  <si>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</si>
  <si>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</si>
  <si>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</si>
  <si>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</si>
  <si>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</si>
  <si>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</si>
  <si>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</si>
  <si>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</si>
  <si>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</si>
  <si>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</si>
  <si>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</si>
  <si>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</si>
  <si>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</si>
  <si>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</si>
  <si>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</si>
  <si>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</si>
  <si>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</si>
  <si>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</si>
  <si>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</si>
  <si>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</si>
  <si>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</si>
  <si>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</si>
  <si>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</si>
  <si>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</si>
  <si>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</si>
  <si>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</si>
  <si>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</si>
  <si>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</si>
  <si>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</si>
  <si>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</si>
  <si>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</si>
  <si>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</si>
  <si>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</si>
  <si>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</si>
  <si>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</si>
  <si>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</si>
  <si>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</si>
  <si>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</si>
  <si>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</si>
  <si>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</si>
  <si>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</si>
  <si>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</si>
  <si>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</si>
  <si>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</si>
  <si>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</si>
  <si>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</si>
  <si>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</si>
  <si>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</si>
  <si>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</si>
  <si>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</si>
  <si>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</si>
  <si>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</si>
  <si>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</si>
  <si>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</si>
  <si>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</si>
  <si>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</si>
  <si>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</si>
  <si>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</si>
  <si>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</si>
  <si>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</si>
  <si>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</si>
  <si>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</si>
  <si>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</si>
  <si>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</si>
  <si>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</si>
  <si>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</si>
  <si>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</si>
  <si>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</si>
  <si>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</si>
  <si>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</si>
  <si>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</si>
  <si>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</si>
  <si>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</si>
  <si>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</si>
  <si>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</si>
  <si>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</si>
  <si>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</si>
  <si>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</si>
  <si>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</si>
  <si>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</si>
  <si>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</si>
  <si>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</si>
  <si>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</si>
  <si>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</si>
  <si>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</si>
  <si>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</si>
  <si>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</si>
  <si>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</si>
  <si>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</si>
  <si>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</si>
  <si>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</si>
  <si>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</si>
  <si>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</si>
  <si>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</si>
  <si>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</si>
  <si>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</si>
  <si>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</si>
  <si>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</si>
  <si>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</si>
  <si>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</si>
  <si>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</si>
  <si>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</si>
  <si>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</si>
  <si>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</si>
  <si>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</si>
  <si>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</si>
  <si>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</si>
  <si>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</si>
  <si>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</si>
  <si>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</si>
  <si>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</si>
  <si>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</si>
  <si>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</si>
  <si>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</si>
  <si>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</si>
  <si>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</si>
  <si>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</si>
  <si>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</si>
  <si>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</si>
  <si>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</si>
  <si>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</si>
  <si>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</si>
  <si>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</si>
  <si>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</si>
  <si>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</si>
  <si>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</si>
  <si>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</si>
  <si>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</si>
  <si>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</si>
  <si>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</si>
  <si>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</si>
  <si>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</si>
  <si>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</si>
  <si>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</si>
  <si>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</si>
  <si>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</si>
  <si>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</si>
  <si>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</si>
  <si>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</si>
  <si>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</si>
  <si>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</si>
  <si>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</si>
  <si>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</si>
  <si>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</si>
  <si>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</si>
  <si>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</si>
  <si>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</si>
  <si>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</si>
  <si>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</si>
  <si>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</si>
  <si>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</si>
  <si>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</si>
  <si>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</si>
  <si>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</si>
  <si>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</si>
  <si>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</si>
  <si>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</si>
  <si>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</si>
  <si>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</si>
  <si>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</si>
  <si>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</si>
  <si>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</si>
  <si>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</si>
  <si>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</si>
  <si>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</si>
  <si>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</si>
  <si>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</si>
  <si>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</si>
  <si>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</si>
  <si>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</si>
  <si>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</si>
  <si>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</si>
  <si>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</si>
  <si>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</si>
  <si>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</si>
  <si>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</si>
  <si>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</si>
  <si>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</si>
  <si>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</si>
  <si>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</si>
  <si>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</si>
  <si>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</si>
  <si>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</si>
  <si>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</si>
  <si>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</si>
  <si>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</si>
  <si>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</si>
  <si>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</si>
  <si>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</si>
  <si>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</si>
  <si>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</si>
  <si>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</si>
  <si>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</si>
  <si>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</si>
  <si>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</si>
  <si>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</si>
  <si>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</si>
  <si>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</si>
  <si>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</si>
  <si>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</si>
  <si>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</si>
  <si>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</si>
  <si>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</si>
  <si>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</si>
  <si>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</si>
  <si>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</si>
  <si>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</si>
  <si>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</si>
  <si>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</si>
  <si>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</si>
  <si>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</si>
  <si>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</si>
  <si>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</si>
  <si>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</si>
  <si>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</si>
  <si>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</si>
  <si>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</si>
  <si>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</si>
  <si>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</si>
  <si>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</si>
  <si>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</si>
  <si>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</si>
  <si>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</si>
  <si>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</si>
  <si>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</si>
  <si>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</si>
  <si>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</si>
  <si>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</si>
  <si>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</si>
  <si>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</si>
  <si>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</si>
  <si>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</si>
  <si>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</si>
  <si>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</si>
  <si>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</si>
  <si>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</si>
  <si>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</si>
  <si>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</si>
  <si>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</si>
  <si>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</si>
  <si>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</si>
  <si>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</si>
  <si>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</si>
  <si>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</si>
  <si>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</si>
  <si>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</si>
  <si>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</si>
  <si>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</si>
  <si>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</si>
  <si>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</si>
  <si>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</si>
  <si>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</si>
  <si>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</si>
  <si>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</si>
  <si>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</si>
  <si>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</si>
  <si>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</si>
  <si>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</si>
  <si>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</si>
  <si>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</si>
  <si>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</si>
  <si>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</si>
  <si>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</si>
  <si>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</si>
  <si>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</si>
  <si>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</si>
  <si>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</si>
  <si>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</si>
  <si>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</si>
  <si>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</si>
  <si>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</si>
  <si>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</si>
  <si>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</si>
  <si>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</si>
  <si>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</si>
  <si>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</si>
  <si>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</si>
  <si>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</si>
  <si>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</si>
  <si>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</si>
  <si>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</si>
  <si>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</si>
  <si>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</si>
  <si>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</si>
  <si>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</si>
  <si>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</si>
  <si>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</si>
  <si>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</si>
  <si>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</si>
  <si>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</si>
  <si>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</si>
  <si>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</si>
  <si>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</si>
  <si>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</si>
  <si>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</si>
  <si>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</si>
  <si>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</si>
  <si>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</si>
  <si>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</si>
  <si>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</si>
  <si>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</si>
  <si>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</si>
  <si>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</si>
  <si>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</si>
  <si>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</si>
  <si>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</si>
  <si>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</si>
  <si>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</si>
  <si>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</si>
  <si>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</si>
  <si>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</si>
  <si>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</si>
  <si>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</si>
  <si>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</si>
  <si>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</si>
  <si>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</si>
  <si>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</si>
  <si>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</si>
  <si>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</si>
  <si>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</si>
  <si>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</si>
  <si>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</si>
  <si>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</si>
  <si>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</si>
  <si>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</si>
  <si>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</si>
  <si>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</si>
  <si>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</si>
  <si>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</si>
  <si>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</si>
  <si>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</si>
  <si>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</si>
  <si>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</si>
  <si>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</si>
  <si>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</si>
  <si>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</si>
  <si>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</si>
  <si>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</si>
  <si>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</si>
  <si>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</si>
  <si>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</si>
  <si>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</si>
  <si>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</si>
  <si>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</si>
  <si>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</si>
  <si>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</si>
  <si>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</si>
  <si>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</si>
  <si>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</si>
  <si>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</si>
  <si>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</si>
  <si>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</si>
  <si>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</si>
  <si>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</si>
  <si>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</si>
  <si>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</si>
  <si>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</si>
  <si>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</si>
  <si>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</si>
  <si>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</si>
  <si>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</si>
  <si>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</si>
  <si>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</si>
  <si>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</si>
  <si>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</si>
  <si>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</si>
  <si>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</si>
  <si>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</si>
  <si>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</si>
  <si>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</si>
  <si>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</si>
  <si>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</si>
  <si>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</si>
  <si>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</si>
  <si>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</si>
  <si>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</si>
  <si>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</si>
  <si>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</si>
  <si>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</si>
  <si>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</si>
  <si>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</si>
  <si>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</si>
  <si>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</si>
  <si>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</si>
  <si>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</si>
  <si>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</si>
  <si>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</si>
  <si>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</si>
  <si>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</si>
  <si>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</si>
  <si>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</si>
  <si>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</si>
  <si>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</si>
  <si>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</si>
  <si>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</si>
  <si>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</si>
  <si>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</si>
  <si>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</si>
  <si>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</si>
  <si>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</si>
  <si>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</si>
  <si>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</si>
  <si>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</si>
  <si>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</si>
  <si>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</si>
  <si>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</si>
  <si>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</si>
  <si>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</si>
  <si>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</si>
  <si>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</si>
  <si>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</si>
  <si>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</si>
  <si>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</si>
  <si>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</si>
  <si>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</si>
  <si>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</si>
  <si>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</si>
  <si>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</si>
  <si>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</si>
  <si>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</si>
  <si>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</si>
  <si>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</si>
  <si>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</si>
  <si>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</si>
  <si>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</si>
  <si>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</si>
  <si>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</si>
  <si>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</si>
  <si>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</si>
  <si>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</si>
  <si>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</si>
  <si>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</si>
  <si>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</si>
  <si>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</si>
  <si>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</si>
  <si>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</si>
  <si>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</si>
  <si>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</si>
  <si>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</si>
  <si>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</si>
  <si>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</si>
  <si>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</si>
  <si>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</si>
  <si>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</si>
  <si>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</si>
  <si>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</si>
  <si>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</si>
  <si>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</si>
  <si>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</si>
  <si>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</si>
  <si>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</si>
  <si>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</si>
  <si>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</si>
  <si>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</si>
  <si>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</si>
  <si>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</si>
  <si>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</si>
  <si>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</si>
  <si>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</si>
  <si>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</si>
  <si>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</si>
  <si>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</si>
  <si>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</si>
  <si>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</si>
  <si>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</si>
  <si>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</si>
  <si>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</si>
  <si>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</si>
  <si>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</si>
  <si>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</si>
  <si>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</si>
  <si>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</si>
  <si>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</si>
  <si>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</si>
  <si>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</si>
  <si>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</si>
  <si>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</si>
  <si>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</si>
  <si>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</si>
  <si>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</si>
  <si>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</si>
  <si>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</si>
  <si>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</si>
  <si>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</si>
  <si>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</si>
  <si>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</si>
  <si>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</si>
  <si>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</si>
  <si>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</si>
  <si>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</si>
  <si>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</si>
  <si>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</si>
  <si>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</si>
  <si>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</si>
  <si>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</si>
  <si>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</si>
  <si>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</si>
  <si>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</si>
  <si>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</si>
  <si>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</si>
  <si>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</si>
  <si>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</si>
  <si>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</si>
  <si>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</si>
  <si>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</si>
  <si>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</si>
  <si>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</si>
  <si>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</si>
  <si>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</si>
  <si>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</si>
  <si>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</si>
  <si>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</si>
  <si>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</si>
  <si>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</si>
  <si>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</si>
  <si>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</si>
  <si>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</si>
  <si>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</si>
  <si>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</si>
  <si>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</si>
  <si>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</si>
  <si>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</si>
  <si>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</si>
  <si>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</si>
  <si>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</si>
  <si>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</si>
  <si>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</si>
  <si>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</si>
  <si>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</si>
  <si>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</si>
  <si>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</si>
  <si>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</si>
  <si>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</si>
  <si>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</si>
  <si>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</si>
  <si>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</si>
  <si>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</si>
  <si>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</si>
  <si>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</si>
  <si>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</si>
  <si>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</si>
  <si>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</si>
  <si>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</si>
  <si>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</si>
  <si>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</si>
  <si>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</si>
  <si>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</si>
  <si>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</si>
  <si>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</si>
  <si>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</si>
  <si>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</si>
  <si>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</si>
  <si>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</si>
  <si>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</si>
  <si>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</si>
  <si>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</si>
  <si>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</si>
  <si>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</si>
  <si>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</si>
  <si>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</si>
  <si>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</si>
  <si>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</si>
  <si>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</si>
  <si>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</si>
  <si>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</si>
  <si>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</si>
  <si>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</si>
  <si>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</si>
  <si>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</si>
  <si>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</si>
  <si>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</si>
  <si>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</si>
  <si>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</si>
  <si>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</si>
  <si>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</si>
  <si>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</si>
  <si>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</si>
  <si>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</si>
  <si>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</si>
  <si>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</si>
  <si>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</si>
  <si>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</si>
  <si>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</si>
  <si>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</si>
  <si>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</si>
  <si>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</si>
  <si>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</si>
  <si>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</si>
  <si>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</si>
  <si>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</si>
  <si>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</si>
  <si>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</si>
  <si>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</si>
  <si>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</si>
  <si>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</si>
  <si>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</si>
  <si>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</si>
  <si>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</si>
  <si>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</si>
  <si>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</si>
  <si>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</si>
  <si>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</si>
  <si>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</si>
  <si>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</si>
  <si>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</si>
  <si>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</si>
  <si>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</si>
  <si>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</si>
  <si>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</si>
  <si>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</si>
  <si>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</si>
  <si>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</si>
  <si>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</si>
  <si>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</si>
  <si>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</si>
  <si>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</si>
  <si>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</si>
  <si>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</si>
  <si>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</si>
  <si>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</si>
  <si>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</si>
  <si>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</si>
  <si>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</si>
  <si>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</si>
  <si>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</si>
  <si>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</si>
  <si>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</si>
  <si>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</si>
  <si>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</si>
  <si>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</si>
  <si>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</si>
  <si>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</si>
  <si>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</si>
  <si>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</si>
  <si>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</si>
  <si>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</si>
  <si>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</si>
  <si>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</si>
  <si>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</si>
  <si>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</si>
  <si>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</si>
  <si>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</si>
  <si>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</si>
  <si>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</si>
  <si>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</si>
  <si>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</si>
  <si>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</si>
  <si>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</si>
  <si>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</si>
  <si>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</si>
  <si>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</si>
  <si>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</si>
  <si>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</si>
  <si>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</si>
  <si>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</si>
  <si>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</si>
  <si>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</si>
  <si>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</si>
  <si>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</si>
  <si>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</si>
  <si>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</si>
  <si>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</si>
  <si>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</si>
  <si>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</si>
  <si>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</si>
  <si>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</si>
  <si>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</si>
  <si>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</si>
  <si>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</si>
  <si>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</si>
  <si>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</si>
  <si>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</si>
  <si>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</si>
  <si>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</si>
  <si>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</si>
  <si>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</si>
  <si>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</si>
  <si>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</si>
  <si>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</si>
  <si>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</si>
  <si>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</si>
  <si>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</si>
  <si>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</si>
  <si>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</si>
  <si>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</si>
  <si>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</si>
  <si>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</si>
  <si>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</si>
  <si>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</si>
  <si>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</si>
  <si>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</si>
  <si>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</si>
  <si>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</si>
  <si>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</si>
  <si>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</si>
  <si>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</si>
  <si>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</si>
  <si>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</si>
  <si>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</si>
  <si>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</si>
  <si>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</si>
  <si>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</si>
  <si>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</si>
  <si>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</si>
  <si>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</si>
  <si>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</si>
  <si>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</si>
  <si>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</si>
  <si>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</si>
  <si>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</si>
  <si>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</si>
  <si>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</si>
  <si>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</si>
  <si>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</si>
  <si>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</si>
  <si>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</si>
  <si>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</si>
  <si>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</si>
  <si>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</si>
  <si>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</si>
  <si>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</si>
  <si>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</si>
  <si>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</si>
  <si>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</si>
  <si>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</si>
  <si>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</si>
  <si>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</si>
  <si>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</si>
  <si>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</si>
  <si>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</si>
  <si>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</si>
  <si>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</si>
  <si>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</si>
  <si>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</si>
  <si>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</si>
  <si>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</si>
  <si>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</si>
  <si>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</si>
  <si>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</si>
  <si>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</si>
  <si>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</si>
  <si>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</si>
  <si>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</si>
  <si>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</si>
  <si>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</si>
  <si>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</si>
  <si>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</si>
  <si>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</si>
  <si>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</si>
  <si>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</si>
  <si>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</si>
  <si>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</si>
  <si>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</si>
  <si>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</si>
  <si>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</si>
  <si>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</si>
  <si>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</si>
  <si>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</si>
  <si>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</si>
  <si>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</si>
  <si>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</si>
  <si>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</si>
  <si>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</si>
  <si>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</si>
  <si>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</si>
  <si>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</si>
  <si>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</si>
  <si>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</si>
  <si>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</si>
  <si>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</si>
  <si>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</si>
  <si>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</si>
  <si>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</si>
  <si>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</si>
  <si>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</si>
  <si>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</si>
  <si>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</si>
  <si>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</si>
  <si>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</si>
  <si>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</si>
  <si>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</si>
  <si>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</si>
  <si>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</si>
  <si>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</si>
  <si>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</si>
  <si>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</si>
  <si>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</si>
  <si>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</si>
  <si>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</si>
  <si>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</si>
  <si>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</si>
  <si>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</si>
  <si>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</si>
  <si>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</si>
  <si>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</si>
  <si>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</si>
  <si>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</si>
  <si>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</si>
  <si>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</si>
  <si>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</si>
  <si>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</si>
  <si>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</si>
  <si>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</si>
  <si>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</si>
  <si>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</si>
  <si>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</si>
  <si>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</si>
  <si>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</si>
  <si>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</si>
  <si>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</si>
  <si>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</si>
  <si>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</si>
  <si>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</si>
  <si>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</si>
  <si>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</si>
  <si>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</si>
  <si>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</si>
  <si>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</si>
  <si>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</si>
  <si>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</si>
  <si>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</si>
  <si>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</si>
  <si>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</si>
  <si>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</si>
  <si>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</si>
  <si>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</si>
  <si>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</si>
  <si>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</si>
  <si>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</si>
  <si>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</si>
  <si>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</si>
  <si>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</si>
  <si>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</si>
  <si>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</si>
  <si>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</si>
  <si>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</si>
  <si>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</si>
  <si>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</si>
  <si>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</si>
  <si>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</si>
  <si>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</si>
  <si>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</si>
  <si>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</si>
  <si>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</si>
  <si>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</si>
  <si>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</si>
  <si>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</si>
  <si>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</si>
  <si>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</si>
  <si>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</si>
  <si>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</si>
  <si>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</si>
  <si>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</si>
  <si>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</si>
  <si>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</si>
  <si>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</si>
  <si>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</si>
  <si>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</si>
  <si>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</si>
  <si>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</si>
  <si>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</si>
  <si>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</si>
  <si>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</si>
  <si>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</si>
  <si>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</si>
  <si>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</si>
  <si>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</si>
  <si>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</si>
  <si>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</si>
  <si>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</si>
  <si>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</si>
  <si>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</si>
  <si>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</si>
  <si>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</si>
  <si>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</si>
  <si>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</si>
  <si>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</si>
  <si>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</si>
  <si>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</si>
  <si>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</si>
  <si>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</si>
  <si>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</si>
  <si>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</si>
  <si>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</si>
  <si>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</si>
  <si>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</si>
  <si>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</si>
  <si>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</si>
  <si>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</si>
  <si>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</si>
  <si>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</si>
  <si>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</si>
  <si>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</si>
  <si>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</si>
  <si>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</si>
  <si>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</si>
  <si>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</si>
  <si>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</si>
  <si>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</si>
  <si>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</si>
  <si>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</si>
  <si>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</si>
  <si>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</si>
  <si>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</si>
  <si>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</si>
  <si>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</si>
  <si>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</si>
  <si>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</si>
  <si>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</si>
  <si>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</si>
  <si>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</si>
  <si>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</si>
  <si>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</si>
  <si>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</si>
  <si>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</si>
  <si>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</si>
  <si>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</si>
  <si>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</si>
  <si>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</si>
  <si>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</si>
  <si>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</si>
  <si>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</si>
  <si>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</si>
  <si>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</si>
  <si>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</si>
  <si>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</si>
  <si>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</si>
  <si>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</si>
  <si>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</si>
  <si>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</si>
  <si>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</si>
  <si>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</si>
  <si>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</si>
  <si>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</si>
  <si>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</si>
  <si>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</si>
  <si>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</si>
  <si>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</si>
  <si>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</si>
  <si>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</si>
  <si>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</si>
  <si>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</si>
  <si>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</si>
  <si>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</si>
  <si>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</si>
  <si>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</si>
  <si>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</si>
  <si>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</si>
  <si>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</si>
  <si>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</si>
  <si>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</si>
  <si>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</si>
  <si>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</si>
  <si>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</si>
  <si>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</si>
  <si>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</si>
  <si>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</si>
  <si>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</si>
  <si>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</si>
  <si>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</si>
  <si>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</si>
  <si>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</si>
  <si>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</si>
  <si>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</si>
  <si>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</si>
  <si>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</si>
  <si>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</si>
  <si>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</si>
  <si>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</si>
  <si>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</si>
  <si>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</si>
  <si>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</si>
  <si>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</si>
  <si>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</si>
  <si>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</si>
  <si>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</si>
  <si>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</si>
  <si>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</si>
  <si>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</si>
  <si>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</si>
  <si>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</si>
  <si>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</si>
  <si>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</si>
  <si>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</si>
  <si>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</si>
  <si>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</si>
  <si>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</si>
  <si>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</si>
  <si>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</si>
  <si>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</si>
  <si>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</si>
  <si>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</si>
  <si>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</si>
  <si>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</si>
  <si>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</si>
  <si>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</si>
  <si>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</si>
  <si>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</si>
  <si>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</si>
  <si>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</si>
  <si>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</si>
  <si>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</si>
  <si>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</si>
  <si>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</si>
  <si>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</si>
  <si>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</si>
  <si>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</si>
  <si>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</si>
  <si>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</si>
  <si>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</si>
  <si>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</si>
  <si>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</si>
  <si>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</si>
  <si>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</si>
  <si>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</si>
  <si>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</si>
  <si>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</si>
  <si>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</si>
  <si>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</si>
  <si>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</si>
  <si>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</si>
  <si>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</si>
  <si>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</si>
  <si>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</si>
  <si>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</si>
  <si>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</si>
  <si>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</si>
  <si>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</si>
  <si>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</si>
  <si>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</si>
  <si>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</si>
  <si>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</si>
  <si>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</si>
  <si>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</si>
  <si>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</si>
  <si>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</si>
  <si>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</si>
  <si>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</si>
  <si>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</si>
  <si>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</si>
  <si>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</si>
  <si>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</si>
  <si>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</si>
  <si>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</si>
  <si>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</si>
  <si>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</si>
  <si>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</si>
  <si>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</si>
  <si>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</si>
  <si>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</si>
  <si>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</si>
  <si>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</si>
  <si>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</si>
  <si>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</si>
  <si>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</si>
  <si>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</si>
  <si>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</si>
  <si>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</si>
  <si>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</si>
  <si>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</si>
  <si>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</si>
  <si>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</si>
  <si>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</si>
  <si>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</si>
  <si>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</si>
  <si>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</si>
  <si>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</si>
  <si>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</si>
  <si>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</si>
  <si>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</si>
  <si>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</si>
  <si>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</si>
  <si>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</si>
  <si>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</si>
  <si>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</si>
  <si>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</si>
  <si>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</si>
  <si>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</si>
  <si>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</si>
  <si>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</si>
  <si>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</si>
  <si>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</si>
  <si>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</si>
  <si>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</si>
  <si>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</si>
  <si>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</si>
  <si>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</si>
  <si>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</si>
  <si>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</si>
  <si>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</si>
  <si>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</si>
  <si>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</si>
  <si>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</si>
  <si>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</si>
  <si>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</si>
  <si>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</si>
  <si>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</si>
  <si>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</si>
  <si>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</si>
  <si>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</si>
  <si>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</si>
  <si>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</si>
  <si>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</si>
  <si>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</si>
  <si>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</si>
  <si>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</si>
  <si>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</si>
  <si>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</si>
  <si>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</si>
  <si>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</si>
  <si>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</si>
  <si>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</si>
  <si>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</si>
  <si>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</si>
  <si>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</si>
  <si>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</si>
  <si>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</si>
  <si>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</si>
  <si>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</si>
  <si>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</si>
  <si>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</si>
  <si>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</si>
  <si>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</si>
  <si>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</si>
  <si>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</si>
  <si>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</si>
  <si>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</si>
  <si>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</si>
  <si>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</si>
  <si>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</si>
  <si>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</si>
  <si>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</si>
  <si>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</si>
  <si>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</si>
  <si>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</si>
  <si>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</si>
  <si>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</si>
  <si>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</si>
  <si>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</si>
  <si>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</si>
  <si>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</si>
  <si>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</si>
  <si>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</si>
  <si>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</si>
  <si>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</si>
  <si>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</si>
  <si>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</si>
  <si>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</si>
  <si>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</si>
  <si>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</si>
  <si>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</si>
  <si>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</si>
  <si>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</si>
  <si>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</si>
  <si>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</si>
  <si>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</si>
  <si>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</si>
  <si>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</si>
  <si>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</si>
  <si>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</si>
  <si>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</si>
  <si>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</si>
  <si>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</si>
  <si>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</si>
  <si>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</si>
  <si>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</si>
  <si>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</si>
  <si>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</si>
  <si>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</si>
  <si>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</si>
  <si>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</si>
  <si>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</si>
  <si>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</si>
  <si>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</si>
  <si>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</si>
  <si>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</si>
  <si>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</si>
  <si>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</si>
  <si>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</si>
  <si>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</si>
  <si>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</si>
  <si>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</si>
  <si>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</si>
  <si>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</si>
  <si>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</si>
  <si>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</si>
  <si>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</si>
  <si>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</si>
  <si>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</si>
  <si>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</si>
  <si>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</si>
  <si>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</si>
  <si>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</si>
  <si>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</si>
  <si>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</si>
  <si>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</si>
  <si>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</si>
  <si>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</si>
  <si>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</si>
  <si>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</si>
  <si>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</si>
  <si>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</si>
  <si>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</si>
  <si>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</si>
  <si>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</si>
  <si>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</si>
  <si>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</si>
  <si>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</si>
  <si>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</si>
  <si>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</si>
  <si>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</si>
  <si>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</si>
  <si>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</si>
  <si>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</si>
  <si>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</si>
  <si>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</si>
  <si>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</si>
  <si>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</si>
  <si>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</si>
  <si>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</si>
  <si>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</si>
  <si>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</si>
  <si>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</si>
  <si>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</si>
  <si>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</si>
  <si>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</si>
  <si>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</si>
  <si>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</si>
  <si>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</si>
  <si>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</si>
  <si>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</si>
  <si>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</si>
  <si>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</si>
  <si>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</si>
  <si>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</si>
  <si>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</si>
  <si>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</si>
  <si>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</si>
  <si>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</si>
  <si>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</si>
  <si>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</si>
  <si>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</si>
  <si>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</si>
  <si>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</si>
  <si>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</si>
  <si>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</si>
  <si>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</si>
  <si>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</si>
  <si>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</si>
  <si>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</si>
  <si>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</si>
  <si>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</si>
  <si>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</si>
  <si>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</si>
  <si>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</si>
  <si>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</si>
  <si>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</si>
  <si>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</si>
  <si>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</si>
  <si>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</si>
  <si>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</si>
  <si>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</si>
  <si>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</si>
  <si>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</si>
  <si>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</si>
  <si>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</si>
  <si>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</si>
  <si>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</si>
  <si>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</si>
  <si>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</si>
  <si>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</si>
  <si>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</si>
  <si>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</si>
  <si>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</si>
  <si>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</si>
  <si>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</si>
  <si>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</si>
  <si>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</si>
  <si>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</si>
  <si>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</si>
  <si>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</si>
  <si>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</si>
  <si>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</si>
  <si>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</si>
  <si>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</si>
  <si>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</si>
  <si>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</si>
  <si>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</si>
  <si>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</si>
  <si>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</si>
  <si>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</si>
  <si>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</si>
  <si>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</si>
  <si>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</si>
  <si>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</si>
  <si>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</si>
  <si>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</si>
  <si>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</si>
  <si>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</si>
  <si>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</si>
  <si>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</si>
  <si>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</si>
  <si>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</si>
  <si>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</si>
  <si>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</si>
  <si>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</si>
  <si>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</si>
  <si>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</si>
  <si>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</si>
  <si>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</si>
  <si>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</si>
  <si>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</si>
  <si>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</si>
  <si>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</si>
  <si>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</si>
  <si>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</si>
  <si>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</si>
  <si>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</si>
  <si>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</si>
  <si>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</si>
  <si>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</si>
  <si>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</si>
  <si>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</si>
  <si>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</si>
  <si>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</si>
  <si>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</si>
  <si>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</si>
  <si>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</si>
  <si>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</si>
  <si>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</si>
  <si>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</si>
  <si>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</si>
  <si>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</si>
  <si>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</si>
  <si>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</si>
  <si>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</si>
  <si>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</si>
  <si>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</si>
  <si>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</si>
  <si>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</si>
  <si>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</si>
  <si>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</si>
  <si>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</si>
  <si>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</si>
  <si>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</si>
  <si>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</si>
  <si>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</si>
  <si>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</si>
  <si>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</si>
  <si>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</si>
  <si>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</si>
  <si>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</si>
  <si>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</si>
  <si>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</si>
  <si>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</si>
  <si>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</si>
  <si>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</si>
  <si>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</si>
  <si>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</si>
  <si>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</si>
  <si>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</si>
  <si>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</si>
  <si>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</si>
  <si>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</si>
  <si>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</si>
  <si>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</si>
  <si>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</si>
  <si>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</si>
  <si>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</si>
  <si>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</si>
  <si>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</si>
  <si>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</si>
  <si>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</si>
  <si>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</si>
  <si>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</si>
  <si>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</si>
  <si>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</si>
  <si>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</si>
  <si>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</si>
  <si>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</si>
  <si>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</si>
  <si>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</si>
  <si>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</si>
  <si>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</si>
  <si>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</si>
  <si>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</si>
  <si>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</si>
  <si>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</si>
  <si>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</si>
  <si>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</si>
  <si>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</si>
  <si>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</si>
  <si>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</si>
  <si>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</si>
  <si>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</si>
  <si>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</si>
  <si>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</si>
  <si>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</si>
  <si>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</si>
  <si>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</si>
  <si>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</si>
  <si>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</si>
  <si>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</si>
  <si>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</si>
  <si>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</si>
  <si>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</si>
  <si>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</si>
  <si>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</si>
  <si>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</si>
  <si>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</si>
  <si>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</si>
  <si>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</si>
  <si>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</si>
  <si>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</si>
  <si>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</si>
  <si>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</si>
  <si>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</si>
  <si>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</si>
  <si>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</si>
  <si>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</si>
  <si>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</si>
  <si>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</si>
  <si>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</si>
  <si>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</si>
  <si>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</si>
  <si>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</si>
  <si>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</si>
  <si>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</si>
  <si>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</si>
  <si>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</si>
  <si>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</si>
  <si>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</si>
  <si>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</si>
  <si>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</si>
  <si>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</si>
  <si>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</si>
  <si>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</si>
  <si>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</si>
  <si>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</si>
  <si>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</si>
  <si>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</si>
  <si>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</si>
  <si>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</si>
  <si>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</si>
  <si>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</si>
  <si>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</si>
  <si>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</si>
  <si>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</si>
  <si>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</si>
  <si>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</si>
  <si>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</si>
  <si>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</si>
  <si>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</si>
  <si>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</si>
  <si>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</si>
  <si>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</si>
  <si>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</si>
  <si>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</si>
  <si>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</si>
  <si>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</si>
  <si>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</si>
  <si>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</si>
  <si>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</si>
  <si>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</si>
  <si>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</si>
  <si>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</si>
  <si>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</si>
  <si>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</si>
  <si>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</si>
  <si>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</si>
  <si>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</si>
  <si>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</si>
  <si>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</si>
  <si>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</si>
  <si>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</si>
  <si>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</si>
  <si>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</si>
  <si>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</si>
  <si>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</si>
  <si>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</si>
  <si>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</si>
  <si>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</si>
  <si>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</si>
  <si>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</si>
  <si>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</si>
  <si>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</si>
  <si>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</si>
  <si>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</si>
  <si>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</si>
  <si>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</si>
  <si>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</si>
  <si>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</si>
  <si>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</si>
  <si>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</si>
  <si>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</si>
  <si>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</si>
  <si>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</si>
  <si>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</si>
  <si>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</si>
  <si>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</si>
  <si>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</si>
  <si>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</si>
  <si>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</si>
  <si>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</si>
  <si>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</si>
  <si>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</si>
  <si>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</si>
  <si>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</si>
  <si>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</si>
  <si>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</si>
  <si>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</si>
  <si>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</si>
  <si>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</si>
  <si>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</si>
  <si>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</si>
  <si>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</si>
  <si>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</si>
  <si>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</si>
  <si>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</si>
  <si>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</si>
  <si>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</si>
  <si>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</si>
  <si>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</si>
  <si>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</si>
  <si>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</si>
  <si>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</si>
  <si>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</si>
  <si>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</si>
  <si>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</si>
  <si>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</si>
  <si>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</si>
  <si>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</si>
  <si>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</si>
  <si>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</si>
  <si>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</si>
  <si>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</si>
  <si>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</si>
  <si>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</si>
  <si>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</si>
  <si>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</si>
  <si>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</si>
  <si>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</si>
  <si>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</si>
  <si>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</si>
  <si>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</si>
  <si>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</si>
  <si>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</si>
  <si>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</si>
  <si>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</si>
  <si>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</si>
  <si>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</si>
  <si>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</si>
  <si>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</si>
  <si>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</si>
  <si>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</si>
  <si>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</si>
  <si>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</si>
  <si>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</si>
  <si>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</si>
  <si>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</si>
  <si>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</si>
  <si>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</si>
  <si>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</si>
  <si>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</si>
  <si>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</si>
  <si>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</si>
  <si>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</si>
  <si>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</si>
  <si>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</si>
  <si>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</si>
  <si>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</si>
  <si>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</si>
  <si>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</si>
  <si>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</si>
  <si>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</si>
  <si>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</si>
  <si>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</si>
  <si>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</si>
  <si>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</si>
  <si>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</si>
  <si>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</si>
  <si>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</si>
  <si>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</si>
  <si>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</si>
  <si>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</si>
  <si>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</si>
  <si>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</si>
  <si>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</si>
  <si>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</si>
  <si>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</si>
  <si>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</si>
  <si>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</si>
  <si>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</si>
  <si>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</si>
  <si>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</si>
  <si>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</si>
  <si>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</si>
  <si>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</si>
  <si>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</si>
  <si>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</si>
  <si>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</si>
  <si>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</si>
  <si>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</si>
  <si>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</si>
  <si>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</si>
  <si>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</si>
  <si>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</si>
  <si>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</si>
  <si>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</si>
  <si>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</si>
  <si>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</si>
  <si>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</si>
  <si>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</si>
  <si>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</si>
  <si>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</si>
  <si>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</si>
  <si>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</si>
  <si>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</si>
  <si>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</si>
  <si>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</si>
  <si>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</si>
  <si>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</si>
  <si>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</si>
  <si>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</si>
  <si>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</si>
  <si>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</si>
  <si>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</si>
  <si>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</si>
  <si>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</si>
  <si>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</si>
  <si>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</si>
  <si>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</si>
  <si>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</si>
  <si>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</si>
  <si>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</si>
  <si>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</si>
  <si>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</si>
  <si>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</si>
  <si>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</si>
  <si>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</si>
  <si>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</si>
  <si>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</si>
  <si>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</si>
  <si>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</si>
  <si>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</si>
  <si>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</si>
  <si>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</si>
  <si>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</si>
  <si>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</si>
  <si>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</si>
  <si>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</si>
  <si>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</si>
  <si>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</si>
  <si>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</si>
  <si>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</si>
  <si>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</si>
  <si>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</si>
  <si>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</si>
  <si>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</si>
  <si>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</si>
  <si>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</si>
  <si>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</si>
  <si>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</si>
  <si>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</si>
  <si>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</si>
  <si>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</si>
  <si>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</si>
  <si>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</si>
  <si>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</si>
  <si>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</si>
  <si>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</si>
  <si>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</si>
  <si>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</si>
  <si>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</si>
  <si>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</si>
  <si>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</si>
  <si>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</si>
  <si>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</si>
  <si>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</si>
  <si>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</si>
  <si>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</si>
  <si>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</si>
  <si>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</si>
  <si>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</si>
  <si>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</si>
  <si>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</si>
  <si>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</si>
  <si>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</si>
  <si>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</si>
  <si>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</si>
  <si>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</si>
  <si>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</si>
  <si>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</si>
  <si>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</si>
  <si>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</si>
  <si>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</si>
  <si>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</si>
  <si>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</si>
  <si>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</si>
  <si>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</si>
  <si>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</si>
  <si>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</si>
  <si>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</si>
  <si>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</si>
  <si>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</si>
  <si>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</si>
  <si>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</si>
  <si>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</si>
  <si>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</si>
  <si>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</si>
  <si>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</si>
  <si>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</si>
  <si>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</si>
  <si>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</si>
  <si>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</si>
  <si>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</si>
  <si>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</si>
  <si>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</si>
  <si>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</si>
  <si>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</si>
  <si>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</si>
  <si>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</si>
  <si>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</si>
  <si>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</si>
  <si>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</si>
  <si>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</si>
  <si>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</si>
  <si>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</si>
  <si>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</si>
  <si>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</si>
  <si>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</si>
  <si>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</si>
  <si>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</si>
  <si>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</si>
  <si>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</si>
  <si>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</si>
  <si>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</si>
  <si>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</si>
  <si>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</si>
  <si>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</si>
  <si>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</si>
  <si>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</si>
  <si>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</si>
  <si>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</si>
  <si>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</si>
  <si>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</si>
  <si>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</si>
  <si>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</si>
  <si>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</si>
  <si>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</si>
  <si>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</si>
  <si>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</si>
  <si>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</si>
  <si>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</si>
  <si>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</si>
  <si>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</si>
  <si>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</si>
  <si>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</si>
  <si>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</si>
  <si>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</si>
  <si>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</si>
  <si>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</si>
  <si>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</si>
  <si>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</si>
  <si>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</si>
  <si>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</si>
  <si>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</si>
  <si>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</si>
  <si>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</si>
  <si>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</si>
  <si>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</si>
  <si>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</si>
  <si>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</si>
  <si>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</si>
  <si>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</si>
  <si>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</si>
  <si>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</si>
  <si>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</si>
  <si>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</si>
  <si>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</si>
  <si>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</si>
  <si>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</si>
  <si>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</si>
  <si>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</si>
  <si>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</si>
  <si>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</si>
  <si>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</si>
  <si>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</si>
  <si>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</si>
  <si>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</si>
  <si>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</si>
  <si>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</si>
  <si>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</si>
  <si>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</si>
  <si>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</si>
  <si>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</si>
  <si>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</si>
  <si>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</si>
  <si>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</si>
  <si>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</si>
  <si>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</si>
  <si>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</si>
  <si>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</si>
  <si>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</si>
  <si>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</si>
  <si>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</si>
  <si>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</si>
  <si>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</si>
  <si>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</si>
  <si>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</si>
  <si>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</si>
  <si>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</si>
  <si>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</si>
  <si>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</si>
  <si>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</si>
  <si>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</si>
  <si>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</si>
  <si>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</si>
  <si>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</si>
  <si>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</si>
  <si>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</si>
  <si>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</si>
  <si>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</si>
  <si>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</si>
  <si>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</si>
  <si>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</si>
  <si>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</si>
  <si>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</si>
  <si>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</si>
  <si>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</si>
  <si>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</si>
  <si>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</si>
  <si>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</si>
  <si>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</si>
  <si>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</si>
  <si>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</si>
  <si>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</si>
  <si>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</si>
  <si>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</si>
  <si>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</si>
  <si>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</si>
  <si>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</si>
  <si>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</si>
  <si>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</si>
  <si>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</si>
  <si>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</si>
  <si>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</si>
  <si>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</si>
  <si>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</si>
  <si>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</si>
  <si>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</si>
  <si>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</si>
  <si>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</si>
  <si>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</si>
  <si>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</si>
  <si>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</si>
  <si>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</si>
  <si>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</si>
  <si>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</si>
  <si>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</si>
  <si>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</si>
  <si>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</si>
  <si>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</si>
  <si>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</si>
  <si>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</si>
  <si>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</si>
  <si>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</si>
  <si>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</si>
  <si>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</si>
  <si>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</si>
  <si>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</si>
  <si>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</si>
  <si>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</si>
  <si>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</si>
  <si>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</si>
  <si>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</si>
  <si>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</si>
  <si>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</si>
  <si>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</si>
  <si>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</si>
  <si>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</si>
  <si>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</si>
  <si>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</si>
  <si>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</si>
  <si>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</si>
  <si>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</si>
  <si>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</si>
  <si>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</si>
  <si>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</si>
  <si>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</si>
  <si>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</si>
  <si>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</si>
  <si>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</si>
  <si>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</si>
  <si>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</si>
  <si>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</si>
  <si>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</si>
  <si>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</si>
  <si>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</si>
  <si>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</si>
  <si>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</si>
  <si>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</si>
  <si>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</si>
  <si>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</si>
  <si>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</si>
  <si>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</si>
  <si>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</si>
  <si>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</si>
  <si>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</si>
  <si>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</si>
  <si>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</si>
  <si>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</si>
  <si>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</si>
  <si>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</si>
  <si>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</si>
  <si>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</si>
  <si>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</si>
  <si>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</si>
  <si>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</si>
  <si>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</si>
  <si>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</si>
  <si>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</si>
  <si>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</si>
  <si>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</si>
  <si>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</si>
  <si>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</si>
  <si>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</si>
  <si>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</si>
  <si>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</si>
  <si>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</si>
  <si>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</si>
  <si>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</si>
  <si>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</si>
  <si>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</si>
  <si>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</si>
  <si>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</si>
  <si>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</si>
  <si>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</si>
  <si>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</si>
  <si>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</si>
  <si>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</si>
  <si>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</si>
  <si>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</si>
  <si>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</si>
  <si>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</si>
  <si>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</si>
  <si>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</si>
  <si>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</si>
  <si>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</si>
  <si>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</si>
  <si>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</si>
  <si>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</si>
  <si>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</si>
  <si>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</si>
  <si>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</si>
  <si>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</si>
  <si>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</si>
  <si>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</si>
  <si>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</si>
  <si>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</si>
  <si>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</si>
  <si>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</si>
  <si>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</si>
  <si>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</si>
  <si>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</si>
  <si>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</si>
  <si>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</si>
  <si>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</si>
  <si>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</si>
  <si>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</si>
  <si>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</si>
  <si>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</si>
  <si>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</si>
  <si>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</si>
  <si>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</si>
  <si>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</si>
  <si>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</si>
  <si>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</si>
  <si>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</si>
  <si>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</si>
  <si>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</si>
  <si>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</si>
  <si>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</si>
  <si>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</si>
  <si>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</si>
  <si>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</si>
  <si>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</si>
  <si>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</si>
  <si>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</si>
  <si>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</si>
  <si>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</si>
  <si>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</si>
  <si>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</si>
  <si>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</si>
  <si>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</si>
  <si>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</si>
  <si>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</si>
  <si>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</si>
  <si>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</si>
  <si>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</si>
  <si>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</si>
  <si>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</si>
  <si>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</si>
  <si>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</si>
  <si>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</si>
  <si>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</si>
  <si>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</si>
  <si>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</si>
  <si>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</si>
  <si>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</si>
  <si>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</si>
  <si>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</si>
  <si>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</si>
  <si>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</si>
  <si>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</si>
  <si>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</si>
  <si>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</si>
  <si>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</si>
  <si>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</si>
  <si>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</si>
  <si>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</si>
  <si>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</si>
  <si>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</si>
  <si>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</si>
  <si>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</si>
  <si>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</si>
  <si>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</si>
  <si>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</si>
  <si>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</si>
  <si>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</si>
  <si>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</si>
  <si>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</si>
  <si>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</si>
  <si>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</si>
  <si>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</si>
  <si>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</si>
  <si>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</si>
  <si>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</si>
  <si>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</si>
  <si>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</si>
  <si>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</si>
  <si>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</si>
  <si>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</si>
  <si>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</si>
  <si>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</si>
  <si>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</si>
  <si>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</si>
  <si>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</si>
  <si>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</si>
  <si>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</si>
  <si>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</si>
  <si>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</si>
  <si>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</si>
  <si>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</si>
  <si>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</si>
  <si>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</si>
  <si>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</si>
  <si>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</si>
  <si>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</si>
  <si>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</si>
  <si>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</si>
  <si>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</si>
  <si>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</si>
  <si>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</si>
  <si>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</si>
  <si>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</si>
  <si>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</si>
  <si>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</si>
  <si>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</si>
  <si>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</si>
  <si>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</si>
  <si>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</si>
  <si>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</si>
  <si>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</si>
  <si>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</si>
  <si>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</si>
  <si>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</si>
  <si>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</si>
  <si>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</si>
  <si>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</si>
  <si>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</si>
  <si>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</si>
  <si>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</si>
  <si>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</si>
  <si>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</si>
  <si>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</si>
  <si>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</si>
  <si>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</si>
  <si>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</si>
  <si>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</si>
  <si>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</si>
  <si>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</si>
  <si>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</si>
  <si>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</si>
  <si>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</si>
  <si>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</si>
  <si>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</si>
  <si>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</si>
  <si>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</si>
  <si>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</si>
  <si>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</si>
  <si>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</si>
  <si>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</si>
  <si>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</si>
  <si>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</si>
  <si>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</si>
  <si>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</si>
  <si>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</si>
  <si>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</si>
  <si>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</si>
  <si>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</si>
  <si>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</si>
  <si>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</si>
  <si>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</si>
  <si>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</si>
  <si>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</si>
  <si>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</si>
  <si>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</si>
  <si>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</si>
  <si>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</si>
  <si>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</si>
  <si>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</si>
  <si>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</si>
  <si>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</si>
  <si>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</si>
  <si>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</si>
  <si>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</si>
  <si>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</si>
  <si>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</si>
  <si>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</si>
  <si>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</si>
  <si>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</si>
  <si>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</si>
  <si>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</si>
  <si>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</si>
  <si>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</si>
  <si>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</si>
  <si>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</si>
  <si>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</si>
  <si>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</si>
  <si>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</si>
  <si>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</si>
  <si>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</si>
  <si>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</si>
  <si>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</si>
  <si>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</si>
  <si>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</si>
  <si>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</si>
  <si>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</si>
  <si>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</si>
  <si>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</si>
  <si>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</si>
  <si>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</si>
  <si>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</si>
  <si>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</si>
  <si>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</si>
  <si>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</si>
  <si>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</si>
  <si>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</si>
  <si>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</si>
  <si>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</si>
  <si>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</si>
  <si>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</si>
  <si>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</si>
  <si>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</si>
  <si>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</si>
  <si>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</si>
  <si>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</si>
  <si>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</si>
  <si>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</si>
  <si>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</si>
  <si>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</si>
  <si>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</si>
  <si>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</si>
  <si>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</si>
  <si>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</si>
  <si>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</si>
  <si>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</si>
  <si>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</si>
  <si>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</si>
  <si>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</si>
  <si>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</si>
  <si>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</si>
  <si>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</si>
  <si>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</si>
  <si>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</si>
  <si>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</si>
  <si>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</si>
  <si>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</si>
  <si>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</si>
  <si>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</si>
  <si>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</si>
  <si>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</si>
  <si>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</si>
  <si>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</si>
  <si>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</si>
  <si>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</si>
  <si>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</si>
  <si>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</si>
  <si>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</si>
  <si>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</si>
  <si>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</si>
  <si>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</si>
  <si>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</si>
  <si>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</si>
  <si>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</si>
  <si>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</si>
  <si>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</si>
  <si>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</si>
  <si>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</si>
  <si>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</si>
  <si>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</si>
  <si>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</si>
  <si>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</si>
  <si>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</si>
  <si>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</si>
  <si>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</si>
  <si>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</si>
  <si>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</si>
  <si>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</si>
  <si>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</si>
  <si>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</si>
  <si>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</si>
  <si>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</si>
  <si>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</si>
  <si>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</si>
  <si>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</si>
  <si>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</si>
  <si>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</si>
  <si>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</si>
  <si>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</si>
  <si>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</si>
  <si>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</si>
  <si>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</si>
  <si>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</si>
  <si>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</si>
  <si>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</si>
  <si>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</si>
  <si>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</si>
  <si>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</si>
  <si>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</si>
  <si>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</si>
  <si>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</si>
  <si>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</si>
  <si>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</si>
  <si>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</si>
  <si>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</si>
  <si>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</si>
  <si>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</si>
  <si>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</si>
  <si>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</si>
  <si>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</si>
  <si>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</si>
  <si>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</si>
  <si>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</si>
  <si>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</si>
  <si>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</si>
  <si>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</si>
  <si>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</si>
  <si>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</si>
  <si>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</si>
  <si>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</si>
  <si>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</si>
  <si>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</si>
  <si>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</si>
  <si>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</si>
  <si>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</si>
  <si>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</si>
  <si>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</si>
  <si>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</si>
  <si>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</si>
  <si>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</si>
  <si>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</si>
  <si>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</si>
  <si>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</si>
  <si>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</si>
  <si>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</si>
  <si>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</si>
  <si>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</si>
  <si>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</si>
  <si>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</si>
  <si>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</si>
  <si>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</si>
  <si>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</si>
  <si>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</si>
  <si>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</si>
  <si>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</si>
  <si>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</si>
  <si>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</si>
  <si>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</si>
  <si>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</si>
  <si>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</si>
  <si>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</si>
  <si>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</si>
  <si>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</si>
  <si>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</si>
  <si>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</si>
  <si>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</si>
  <si>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</si>
  <si>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</si>
  <si>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</si>
  <si>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</si>
  <si>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</si>
  <si>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</si>
  <si>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</si>
  <si>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</si>
  <si>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</si>
  <si>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</si>
  <si>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</si>
  <si>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</si>
  <si>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</si>
  <si>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</si>
  <si>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</si>
  <si>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</si>
  <si>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</si>
  <si>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</si>
  <si>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</si>
  <si>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</si>
  <si>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</si>
  <si>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</si>
  <si>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</si>
  <si>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</si>
  <si>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</si>
  <si>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</si>
  <si>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</si>
  <si>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</si>
  <si>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</si>
  <si>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</si>
  <si>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</si>
  <si>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</si>
  <si>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</si>
  <si>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</si>
  <si>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</si>
  <si>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</si>
  <si>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</si>
  <si>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</si>
  <si>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</si>
  <si>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</si>
  <si>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</si>
  <si>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</si>
  <si>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</si>
  <si>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</si>
  <si>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</si>
  <si>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</si>
  <si>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</si>
  <si>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</si>
  <si>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</si>
  <si>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</si>
  <si>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</si>
  <si>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</si>
  <si>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</si>
  <si>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</si>
  <si>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</si>
  <si>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</si>
  <si>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</si>
  <si>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</si>
  <si>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</si>
  <si>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</si>
  <si>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</si>
  <si>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</si>
  <si>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</si>
  <si>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</si>
  <si>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</si>
  <si>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</si>
  <si>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</si>
  <si>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</si>
  <si>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</si>
  <si>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</si>
  <si>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</si>
  <si>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</si>
  <si>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</si>
  <si>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</si>
  <si>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</si>
  <si>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</si>
  <si>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</si>
  <si>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</si>
  <si>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</si>
  <si>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</si>
  <si>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</si>
  <si>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</si>
  <si>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</si>
  <si>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</si>
  <si>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</si>
  <si>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</si>
  <si>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</si>
  <si>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</si>
  <si>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</si>
  <si>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</si>
  <si>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</si>
  <si>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</si>
  <si>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</si>
  <si>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</si>
  <si>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</si>
  <si>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</si>
  <si>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</si>
  <si>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</si>
  <si>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</si>
  <si>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</si>
  <si>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</si>
  <si>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</si>
  <si>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</si>
  <si>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</si>
  <si>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</si>
  <si>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</si>
  <si>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</si>
  <si>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</si>
  <si>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</si>
  <si>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</si>
  <si>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</si>
  <si>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</si>
  <si>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</si>
  <si>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</si>
  <si>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</si>
  <si>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</si>
  <si>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</si>
  <si>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</si>
  <si>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</si>
  <si>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</si>
  <si>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</si>
  <si>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</si>
  <si>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</si>
  <si>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</si>
  <si>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</si>
  <si>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</si>
  <si>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</si>
  <si>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</si>
  <si>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</si>
  <si>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</si>
  <si>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</si>
  <si>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</si>
  <si>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</si>
  <si>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</si>
  <si>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</si>
  <si>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</si>
  <si>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</si>
  <si>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</si>
  <si>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</si>
  <si>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</si>
  <si>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</si>
  <si>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</si>
  <si>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</si>
  <si>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</si>
  <si>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</si>
  <si>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</si>
  <si>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</si>
  <si>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</si>
  <si>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</si>
  <si>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</si>
  <si>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</si>
  <si>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</si>
  <si>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</si>
  <si>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</si>
  <si>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</si>
  <si>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</si>
  <si>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</si>
  <si>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</si>
  <si>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</si>
  <si>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</si>
  <si>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</si>
  <si>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</si>
  <si>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</si>
  <si>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</si>
  <si>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</si>
  <si>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</si>
  <si>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</si>
  <si>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</si>
  <si>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</si>
  <si>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</si>
  <si>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</si>
  <si>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</si>
  <si>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</si>
  <si>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</si>
  <si>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</si>
  <si>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</si>
  <si>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</si>
  <si>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</si>
  <si>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</si>
  <si>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</si>
  <si>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</si>
  <si>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</si>
  <si>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</si>
  <si>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</si>
  <si>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</si>
  <si>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</si>
  <si>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</si>
  <si>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</si>
  <si>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</si>
  <si>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</si>
  <si>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</si>
  <si>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</si>
  <si>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</si>
  <si>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</si>
  <si>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</si>
  <si>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</si>
  <si>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</si>
  <si>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</si>
  <si>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</si>
  <si>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</si>
  <si>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</si>
  <si>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</si>
  <si>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</si>
  <si>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</si>
  <si>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</si>
  <si>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</si>
  <si>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</si>
  <si>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</si>
  <si>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</si>
  <si>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</si>
  <si>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</si>
  <si>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</si>
  <si>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</si>
  <si>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</si>
  <si>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</si>
  <si>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</si>
  <si>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</si>
  <si>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</si>
  <si>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</si>
  <si>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</si>
  <si>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</si>
  <si>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</si>
  <si>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</si>
  <si>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</si>
  <si>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</si>
  <si>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</si>
  <si>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</si>
  <si>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</si>
  <si>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</si>
  <si>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</si>
  <si>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</si>
  <si>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</si>
  <si>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</si>
  <si>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</si>
  <si>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</si>
  <si>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</si>
  <si>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</si>
  <si>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</si>
  <si>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</si>
  <si>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</si>
  <si>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</si>
  <si>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</si>
  <si>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</si>
  <si>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</si>
  <si>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</si>
  <si>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</si>
  <si>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</si>
  <si>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</si>
  <si>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</si>
  <si>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</si>
  <si>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</si>
  <si>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</si>
  <si>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</si>
  <si>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</si>
  <si>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</si>
  <si>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</si>
  <si>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</si>
  <si>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</si>
  <si>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</si>
  <si>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</si>
  <si>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</si>
  <si>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</si>
  <si>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</si>
  <si>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</si>
  <si>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</si>
  <si>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</si>
  <si>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</si>
  <si>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</si>
  <si>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</si>
  <si>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</si>
  <si>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</si>
  <si>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</si>
  <si>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</si>
  <si>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</si>
  <si>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</si>
  <si>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</si>
  <si>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</si>
  <si>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</si>
  <si>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</si>
  <si>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</si>
  <si>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</si>
  <si>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</si>
  <si>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</si>
  <si>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</si>
  <si>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</si>
  <si>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</si>
  <si>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</si>
  <si>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</si>
  <si>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</si>
  <si>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</si>
  <si>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</si>
  <si>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</si>
  <si>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</si>
  <si>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</si>
  <si>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</si>
  <si>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</si>
  <si>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</si>
  <si>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</si>
  <si>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</si>
  <si>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</si>
  <si>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</si>
  <si>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</si>
  <si>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</si>
  <si>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</si>
  <si>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</si>
  <si>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</si>
  <si>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</si>
  <si>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</si>
  <si>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</si>
  <si>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</si>
  <si>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</si>
  <si>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</si>
  <si>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</si>
  <si>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</si>
  <si>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</si>
  <si>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</si>
  <si>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</si>
  <si>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</si>
  <si>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</si>
  <si>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</si>
  <si>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</si>
  <si>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</si>
  <si>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</si>
  <si>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</si>
  <si>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</si>
  <si>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</si>
  <si>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</si>
  <si>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</si>
  <si>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</si>
  <si>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</si>
  <si>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</si>
  <si>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</si>
  <si>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</si>
  <si>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</si>
  <si>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</si>
  <si>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</si>
  <si>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</si>
  <si>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</si>
  <si>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</si>
  <si>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</si>
  <si>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</si>
  <si>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</si>
  <si>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</si>
  <si>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</si>
  <si>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</si>
  <si>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</si>
  <si>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</si>
  <si>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</si>
  <si>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</si>
  <si>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</si>
  <si>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</si>
  <si>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</si>
  <si>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</si>
  <si>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</si>
  <si>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</si>
  <si>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</si>
  <si>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</si>
  <si>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</si>
  <si>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</si>
  <si>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</si>
  <si>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</si>
  <si>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</si>
  <si>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</si>
  <si>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</si>
  <si>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</si>
  <si>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</si>
  <si>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</si>
  <si>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</si>
  <si>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</si>
  <si>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</si>
  <si>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</si>
  <si>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</si>
  <si>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</si>
  <si>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</si>
  <si>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</si>
  <si>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</si>
  <si>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</si>
  <si>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</si>
  <si>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</si>
  <si>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</si>
  <si>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</si>
  <si>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</si>
  <si>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</si>
  <si>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</si>
  <si>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</si>
  <si>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</si>
  <si>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</si>
  <si>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</si>
  <si>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</si>
  <si>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</si>
  <si>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</si>
  <si>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</si>
  <si>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</si>
  <si>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</si>
  <si>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</si>
  <si>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</si>
  <si>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</si>
  <si>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</si>
  <si>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</si>
  <si>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</si>
  <si>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</si>
  <si>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</si>
  <si>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</si>
  <si>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</si>
  <si>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</si>
  <si>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</si>
  <si>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</si>
  <si>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</si>
  <si>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</si>
  <si>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</si>
  <si>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</si>
  <si>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</si>
  <si>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</si>
  <si>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</si>
  <si>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</si>
  <si>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</si>
  <si>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</si>
  <si>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</si>
  <si>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</si>
  <si>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</si>
  <si>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</si>
  <si>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</si>
  <si>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</si>
  <si>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</si>
  <si>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</si>
  <si>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</si>
  <si>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</si>
  <si>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</si>
  <si>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</si>
  <si>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</si>
  <si>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</si>
  <si>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</si>
  <si>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</si>
  <si>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</si>
  <si>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</si>
  <si>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</si>
  <si>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</si>
  <si>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</si>
  <si>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</si>
  <si>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</si>
  <si>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</si>
  <si>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</si>
  <si>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</si>
  <si>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</si>
  <si>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</si>
  <si>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</si>
  <si>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</si>
  <si>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</si>
  <si>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</si>
  <si>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</si>
  <si>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</si>
  <si>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</si>
  <si>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</si>
  <si>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</si>
  <si>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</si>
  <si>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</si>
  <si>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</si>
  <si>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</si>
  <si>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</si>
  <si>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</si>
  <si>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</si>
  <si>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</si>
  <si>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</si>
  <si>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</si>
  <si>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</si>
  <si>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</si>
  <si>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</si>
  <si>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</si>
  <si>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</si>
  <si>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</si>
  <si>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</si>
  <si>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</si>
  <si>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</si>
  <si>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</si>
  <si>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</si>
  <si>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</si>
  <si>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</si>
  <si>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</si>
  <si>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</si>
  <si>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</si>
  <si>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</si>
  <si>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</si>
  <si>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</si>
  <si>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</si>
  <si>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</si>
  <si>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</si>
  <si>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</si>
  <si>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</si>
  <si>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</si>
  <si>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</si>
  <si>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</si>
  <si>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</si>
  <si>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</si>
  <si>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</si>
  <si>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</si>
  <si>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</si>
  <si>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</si>
  <si>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</si>
  <si>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</si>
  <si>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</si>
  <si>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</si>
  <si>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</si>
  <si>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</si>
  <si>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</si>
  <si>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</si>
  <si>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</si>
  <si>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</si>
  <si>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</si>
  <si>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</si>
  <si>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</si>
  <si>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</si>
  <si>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</si>
  <si>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</si>
  <si>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</si>
  <si>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</si>
  <si>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</si>
  <si>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</si>
  <si>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</si>
  <si>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</si>
  <si>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</si>
  <si>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</si>
  <si>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</si>
  <si>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</si>
  <si>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</si>
  <si>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</si>
  <si>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</si>
  <si>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</si>
  <si>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</si>
  <si>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</si>
  <si>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</si>
  <si>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</si>
  <si>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</si>
  <si>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</si>
  <si>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</si>
  <si>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</si>
  <si>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</si>
  <si>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</si>
  <si>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</si>
  <si>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</si>
  <si>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</si>
  <si>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</si>
  <si>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</si>
  <si>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</si>
  <si>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</si>
  <si>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</si>
  <si>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</si>
  <si>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</si>
  <si>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</si>
  <si>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</si>
  <si>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</si>
  <si>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</si>
  <si>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</si>
  <si>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</si>
  <si>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</si>
  <si>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</si>
  <si>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</si>
  <si>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</si>
  <si>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</si>
  <si>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</si>
  <si>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</si>
  <si>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</si>
  <si>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</si>
  <si>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</si>
  <si>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</si>
  <si>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</si>
  <si>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</si>
  <si>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</si>
  <si>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</si>
  <si>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</si>
  <si>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</si>
  <si>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</si>
  <si>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</si>
  <si>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</si>
  <si>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</si>
  <si>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</si>
  <si>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</si>
  <si>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</si>
  <si>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</si>
  <si>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</si>
  <si>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</si>
  <si>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</si>
  <si>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</si>
  <si>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</si>
  <si>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</si>
  <si>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</si>
  <si>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</si>
  <si>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</si>
  <si>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</si>
  <si>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</si>
  <si>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</si>
  <si>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</si>
  <si>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</si>
  <si>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</si>
  <si>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</si>
  <si>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</si>
  <si>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</si>
  <si>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</si>
  <si>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</si>
  <si>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</si>
  <si>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</si>
  <si>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</si>
  <si>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</si>
  <si>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</si>
  <si>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</si>
  <si>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</si>
  <si>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</si>
  <si>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</si>
  <si>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</si>
  <si>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</si>
  <si>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</si>
  <si>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</si>
  <si>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</si>
  <si>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</si>
  <si>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</si>
  <si>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</si>
  <si>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</si>
  <si>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</si>
  <si>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</si>
  <si>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</si>
  <si>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</si>
  <si>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</si>
  <si>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</si>
  <si>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</si>
  <si>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</si>
  <si>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</si>
  <si>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</si>
  <si>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</si>
  <si>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</si>
  <si>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</si>
  <si>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</si>
  <si>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</si>
  <si>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</si>
  <si>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</si>
  <si>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</si>
  <si>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</si>
  <si>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</si>
  <si>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</si>
  <si>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</si>
  <si>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</si>
  <si>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</si>
  <si>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</si>
  <si>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</si>
  <si>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</si>
  <si>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</si>
  <si>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</si>
  <si>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</si>
  <si>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</si>
  <si>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</si>
  <si>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</si>
  <si>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</si>
  <si>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</si>
  <si>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</si>
  <si>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</si>
  <si>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</si>
  <si>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</si>
  <si>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</si>
  <si>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</si>
  <si>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</si>
  <si>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</si>
  <si>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</si>
  <si>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</si>
  <si>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</si>
  <si>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</si>
  <si>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</si>
  <si>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</si>
  <si>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</si>
  <si>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</si>
  <si>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</si>
  <si>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</si>
  <si>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</si>
  <si>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</si>
  <si>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</si>
  <si>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</si>
  <si>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</si>
  <si>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</si>
  <si>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</si>
  <si>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</si>
  <si>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</si>
  <si>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</si>
  <si>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</si>
  <si>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</si>
  <si>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</si>
  <si>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</si>
  <si>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</si>
  <si>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</si>
  <si>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</si>
  <si>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</si>
  <si>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</si>
  <si>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</si>
  <si>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</si>
  <si>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</si>
  <si>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</si>
  <si>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</si>
  <si>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</si>
  <si>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</si>
  <si>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</si>
  <si>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</si>
  <si>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</si>
  <si>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</si>
  <si>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</si>
  <si>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</si>
  <si>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</si>
  <si>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</si>
  <si>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</si>
  <si>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</si>
  <si>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</si>
  <si>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</si>
  <si>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</si>
  <si>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</si>
  <si>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</si>
  <si>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</si>
  <si>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</si>
  <si>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</si>
  <si>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</si>
  <si>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</si>
  <si>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</si>
  <si>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</si>
  <si>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</si>
  <si>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</si>
  <si>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</si>
  <si>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</si>
  <si>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</si>
  <si>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</si>
  <si>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</si>
  <si>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</si>
  <si>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</si>
  <si>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</si>
  <si>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</si>
  <si>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</si>
  <si>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</si>
  <si>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</si>
  <si>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</si>
  <si>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</si>
  <si>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</si>
  <si>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</si>
  <si>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</si>
  <si>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</si>
  <si>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</si>
  <si>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</si>
  <si>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</si>
  <si>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</si>
  <si>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</si>
  <si>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</si>
  <si>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</si>
  <si>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</si>
  <si>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</si>
  <si>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</si>
  <si>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</si>
  <si>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</si>
  <si>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</si>
  <si>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</si>
  <si>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</si>
  <si>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</si>
  <si>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</si>
  <si>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</si>
  <si>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</si>
  <si>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</si>
  <si>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</si>
  <si>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</si>
  <si>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</si>
  <si>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</si>
  <si>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</si>
  <si>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</si>
  <si>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</si>
  <si>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</si>
  <si>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</si>
  <si>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</si>
  <si>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</si>
  <si>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</si>
  <si>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</si>
  <si>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</si>
  <si>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</si>
  <si>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</si>
  <si>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</si>
  <si>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</si>
  <si>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</si>
  <si>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</si>
  <si>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</si>
  <si>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</si>
  <si>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</si>
  <si>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</si>
  <si>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</si>
  <si>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</si>
  <si>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</si>
  <si>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</si>
  <si>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</si>
  <si>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</si>
  <si>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</si>
  <si>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</si>
  <si>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</si>
  <si>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</si>
  <si>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</si>
  <si>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</si>
  <si>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</si>
  <si>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</si>
  <si>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</si>
  <si>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</si>
  <si>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</si>
  <si>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</si>
  <si>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</si>
  <si>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</si>
  <si>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</si>
  <si>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</si>
  <si>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</si>
  <si>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</si>
  <si>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</si>
  <si>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</si>
  <si>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</si>
  <si>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</si>
  <si>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</si>
  <si>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</si>
  <si>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</si>
  <si>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</si>
  <si>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</si>
  <si>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</si>
  <si>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</si>
  <si>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</si>
  <si>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</si>
  <si>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</si>
  <si>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</si>
  <si>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</si>
  <si>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</si>
  <si>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</si>
  <si>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</si>
  <si>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</si>
  <si>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</si>
  <si>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</si>
  <si>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</si>
  <si>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</si>
  <si>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</si>
  <si>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</si>
  <si>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</si>
  <si>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</si>
  <si>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</si>
  <si>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</si>
  <si>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</si>
  <si>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</si>
  <si>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</si>
  <si>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</si>
  <si>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</si>
  <si>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</si>
  <si>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</si>
  <si>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</si>
  <si>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</si>
  <si>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</si>
  <si>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</si>
  <si>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</si>
  <si>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</si>
  <si>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</si>
  <si>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</si>
  <si>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</si>
  <si>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</si>
  <si>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</si>
  <si>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</si>
  <si>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</si>
  <si>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</si>
  <si>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</si>
  <si>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</si>
  <si>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</si>
  <si>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</si>
  <si>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</si>
  <si>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</si>
  <si>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</si>
  <si>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</si>
  <si>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</si>
  <si>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</si>
  <si>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</si>
  <si>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</si>
  <si>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</si>
  <si>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</si>
  <si>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</si>
  <si>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</si>
  <si>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</si>
  <si>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</si>
  <si>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</si>
  <si>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</si>
  <si>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</si>
  <si>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</si>
  <si>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</si>
  <si>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</si>
  <si>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</si>
  <si>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</si>
  <si>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</si>
  <si>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</si>
  <si>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</si>
  <si>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</si>
  <si>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</si>
  <si>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</si>
  <si>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</si>
  <si>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</si>
  <si>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</si>
  <si>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</si>
  <si>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</si>
  <si>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</si>
  <si>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</si>
  <si>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</si>
  <si>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</si>
  <si>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</si>
  <si>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</si>
  <si>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</si>
  <si>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</si>
  <si>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</si>
  <si>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</si>
  <si>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</si>
  <si>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</si>
  <si>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</si>
  <si>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</si>
  <si>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</si>
  <si>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</si>
  <si>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</si>
  <si>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</si>
  <si>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</si>
  <si>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</si>
  <si>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</si>
  <si>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</si>
  <si>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</si>
  <si>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</si>
  <si>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</si>
  <si>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</si>
  <si>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</si>
  <si>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</si>
  <si>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</si>
  <si>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</si>
  <si>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</si>
  <si>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</si>
  <si>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</si>
  <si>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</si>
  <si>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</si>
  <si>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</si>
  <si>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</si>
  <si>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</si>
  <si>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</si>
  <si>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</si>
  <si>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</si>
  <si>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</si>
  <si>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</si>
  <si>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</si>
  <si>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</si>
  <si>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</si>
  <si>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</si>
  <si>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</si>
  <si>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</si>
  <si>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</si>
  <si>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</si>
  <si>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</si>
  <si>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</si>
  <si>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</si>
  <si>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</si>
  <si>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</si>
  <si>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</si>
  <si>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</si>
  <si>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</si>
  <si>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</si>
  <si>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</si>
  <si>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</si>
  <si>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</si>
  <si>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</si>
  <si>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</si>
  <si>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</si>
  <si>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</si>
  <si>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</si>
  <si>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</si>
  <si>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</si>
  <si>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</si>
  <si>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</si>
  <si>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</si>
  <si>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</si>
  <si>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</si>
  <si>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</si>
  <si>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</si>
  <si>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</si>
  <si>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</si>
  <si>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</si>
  <si>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</si>
  <si>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</si>
  <si>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</si>
  <si>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</si>
  <si>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</si>
  <si>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</si>
  <si>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</si>
  <si>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</si>
  <si>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</si>
  <si>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</si>
  <si>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</si>
  <si>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</si>
  <si>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</si>
  <si>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</si>
  <si>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</si>
  <si>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</si>
  <si>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</si>
  <si>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</si>
  <si>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</si>
  <si>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</si>
  <si>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</si>
  <si>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</si>
  <si>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</si>
  <si>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</si>
  <si>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</si>
  <si>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</si>
  <si>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</si>
  <si>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</si>
  <si>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</si>
  <si>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</si>
  <si>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</si>
  <si>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</si>
  <si>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</si>
  <si>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</si>
  <si>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</si>
  <si>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</si>
  <si>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</si>
  <si>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</si>
  <si>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</si>
  <si>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</si>
  <si>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</si>
  <si>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</si>
  <si>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</si>
  <si>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</si>
  <si>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</si>
  <si>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</si>
  <si>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</si>
  <si>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</si>
  <si>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</si>
  <si>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</si>
  <si>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</si>
  <si>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</si>
  <si>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</si>
  <si>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</si>
  <si>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</si>
  <si>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</si>
  <si>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</si>
  <si>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</si>
  <si>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</si>
  <si>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</si>
  <si>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</si>
  <si>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</si>
  <si>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</si>
  <si>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</si>
  <si>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</si>
  <si>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</si>
  <si>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</si>
  <si>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</si>
  <si>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</si>
  <si>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</si>
  <si>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</si>
  <si>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</si>
  <si>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</si>
  <si>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</si>
  <si>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</si>
  <si>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</si>
  <si>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</si>
  <si>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</si>
  <si>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</si>
  <si>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</si>
  <si>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</si>
  <si>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</si>
  <si>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</si>
  <si>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</si>
  <si>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</si>
  <si>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</si>
  <si>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</si>
  <si>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</si>
  <si>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</si>
  <si>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</si>
  <si>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</si>
  <si>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</si>
  <si>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</si>
  <si>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</si>
  <si>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</si>
  <si>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</si>
  <si>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</si>
  <si>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</si>
  <si>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</si>
  <si>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</si>
  <si>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</si>
  <si>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</si>
  <si>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</si>
  <si>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</si>
  <si>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</si>
  <si>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</si>
  <si>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</si>
  <si>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</si>
  <si>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</si>
  <si>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</si>
  <si>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</si>
  <si>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</si>
  <si>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</si>
  <si>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</si>
  <si>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</si>
  <si>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</si>
  <si>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</si>
  <si>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</si>
  <si>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</si>
  <si>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</si>
  <si>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</si>
  <si>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</si>
  <si>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</si>
  <si>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</si>
  <si>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</si>
  <si>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</si>
  <si>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</si>
  <si>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</si>
  <si>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</si>
  <si>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</si>
  <si>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</si>
  <si>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</si>
  <si>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</si>
  <si>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</si>
  <si>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</si>
  <si>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</si>
  <si>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</si>
  <si>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</si>
  <si>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</si>
  <si>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</si>
  <si>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</si>
  <si>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</si>
  <si>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</si>
  <si>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</si>
  <si>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</si>
  <si>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</si>
  <si>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</si>
  <si>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</si>
  <si>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</si>
  <si>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</si>
  <si>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</si>
  <si>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</si>
  <si>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</si>
  <si>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</si>
  <si>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</si>
  <si>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</si>
  <si>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</si>
  <si>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</si>
  <si>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</si>
  <si>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</si>
  <si>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</si>
  <si>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</si>
  <si>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</si>
  <si>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</si>
  <si>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</si>
  <si>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</si>
  <si>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</si>
  <si>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</si>
  <si>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</si>
  <si>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</si>
  <si>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</si>
  <si>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</si>
  <si>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</si>
  <si>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</si>
  <si>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</si>
  <si>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</si>
  <si>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</si>
  <si>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</si>
  <si>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</si>
  <si>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</si>
  <si>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</si>
  <si>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</si>
  <si>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</si>
  <si>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</si>
  <si>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</si>
  <si>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</si>
  <si>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</si>
  <si>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</si>
  <si>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</si>
  <si>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</si>
  <si>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</si>
  <si>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</si>
  <si>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</si>
  <si>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</si>
  <si>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</si>
  <si>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</si>
  <si>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</si>
  <si>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</si>
  <si>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</si>
  <si>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</si>
  <si>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</si>
  <si>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</si>
  <si>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</si>
  <si>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</si>
  <si>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</si>
  <si>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</si>
  <si>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</si>
  <si>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</si>
  <si>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</si>
  <si>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</si>
  <si>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</si>
  <si>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</si>
  <si>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</si>
  <si>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</si>
  <si>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</si>
  <si>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</si>
  <si>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</si>
  <si>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</si>
  <si>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</si>
  <si>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</si>
  <si>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</si>
  <si>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</si>
  <si>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</si>
  <si>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</si>
  <si>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</si>
  <si>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</si>
  <si>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</si>
  <si>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</si>
  <si>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</si>
  <si>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</si>
  <si>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</si>
  <si>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</si>
  <si>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</si>
  <si>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</si>
  <si>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</si>
  <si>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</si>
  <si>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</si>
  <si>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</si>
  <si>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</si>
  <si>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</si>
  <si>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</si>
  <si>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</si>
  <si>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</si>
  <si>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</si>
  <si>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</si>
  <si>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</si>
  <si>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</si>
  <si>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</si>
  <si>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</si>
  <si>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</si>
  <si>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</si>
  <si>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</si>
  <si>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</si>
  <si>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</si>
  <si>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</si>
  <si>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</si>
  <si>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</si>
  <si>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</si>
  <si>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</si>
  <si>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</si>
  <si>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</si>
  <si>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</si>
  <si>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</si>
  <si>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</si>
  <si>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</si>
  <si>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</si>
  <si>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</si>
  <si>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</si>
  <si>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</si>
  <si>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</si>
  <si>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</si>
  <si>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</si>
  <si>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</si>
  <si>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</si>
  <si>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</si>
  <si>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</si>
  <si>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</si>
  <si>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</si>
  <si>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</si>
  <si>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</si>
  <si>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</si>
  <si>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</si>
  <si>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</si>
  <si>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</si>
  <si>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</si>
  <si>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</si>
  <si>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</si>
  <si>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</si>
  <si>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</si>
  <si>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</si>
  <si>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</si>
  <si>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</si>
  <si>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</si>
  <si>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</si>
  <si>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</si>
  <si>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</si>
  <si>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</si>
  <si>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</si>
  <si>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</si>
  <si>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</si>
  <si>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</si>
  <si>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</si>
  <si>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</si>
  <si>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</si>
  <si>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</si>
  <si>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</si>
  <si>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</si>
  <si>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</si>
  <si>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</si>
  <si>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</si>
  <si>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</si>
  <si>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</si>
  <si>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</si>
  <si>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</si>
  <si>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</si>
  <si>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</si>
  <si>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</si>
  <si>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</si>
  <si>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</si>
  <si>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</si>
  <si>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</si>
  <si>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</si>
  <si>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</si>
  <si>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</si>
  <si>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</si>
  <si>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</si>
  <si>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</si>
  <si>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</si>
  <si>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</si>
  <si>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</si>
  <si>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</si>
  <si>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</si>
  <si>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</si>
  <si>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</si>
  <si>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</si>
  <si>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</si>
  <si>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</si>
  <si>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</si>
  <si>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</si>
  <si>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</si>
  <si>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</si>
  <si>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</si>
  <si>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</si>
  <si>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</si>
  <si>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</si>
  <si>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</si>
  <si>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</si>
  <si>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</si>
  <si>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</si>
  <si>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</si>
  <si>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</si>
  <si>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</si>
  <si>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</si>
  <si>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</si>
  <si>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</si>
  <si>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</si>
  <si>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</si>
  <si>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</si>
  <si>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</si>
  <si>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</si>
  <si>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</si>
  <si>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</si>
  <si>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</si>
  <si>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</si>
  <si>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</si>
  <si>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</si>
  <si>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</si>
  <si>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</si>
  <si>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</si>
  <si>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</si>
  <si>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</si>
  <si>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</si>
  <si>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</si>
  <si>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</si>
  <si>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</si>
  <si>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</si>
  <si>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</si>
  <si>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</si>
  <si>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</si>
  <si>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</si>
  <si>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</si>
  <si>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</si>
  <si>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</si>
  <si>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</si>
  <si>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</si>
  <si>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</si>
  <si>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</si>
  <si>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</si>
  <si>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</si>
  <si>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</si>
  <si>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</si>
  <si>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</si>
  <si>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</si>
  <si>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</si>
  <si>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</si>
  <si>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</si>
  <si>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</si>
  <si>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</si>
  <si>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</si>
  <si>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</si>
  <si>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</si>
  <si>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</si>
  <si>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</si>
  <si>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</si>
  <si>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</si>
  <si>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</si>
  <si>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</si>
  <si>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</si>
  <si>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</si>
  <si>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</si>
  <si>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</si>
  <si>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</si>
  <si>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</si>
  <si>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</si>
  <si>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</si>
  <si>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</si>
  <si>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</si>
  <si>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</si>
  <si>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</si>
  <si>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</si>
  <si>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</si>
  <si>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</si>
  <si>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</si>
  <si>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</si>
  <si>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</si>
  <si>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</si>
  <si>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</si>
  <si>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</si>
  <si>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</si>
  <si>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</si>
  <si>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</si>
  <si>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</si>
  <si>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</si>
  <si>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</si>
  <si>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</si>
  <si>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</si>
  <si>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</si>
  <si>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</si>
  <si>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</si>
  <si>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</si>
  <si>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</si>
  <si>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</si>
  <si>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</si>
  <si>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</si>
  <si>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</si>
  <si>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</si>
  <si>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</si>
  <si>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</si>
  <si>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</si>
  <si>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</si>
  <si>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</si>
  <si>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</si>
  <si>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</si>
  <si>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</si>
  <si>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</si>
  <si>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</si>
  <si>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</si>
  <si>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</si>
  <si>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</si>
  <si>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</si>
  <si>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</si>
  <si>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</si>
  <si>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</si>
  <si>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</si>
  <si>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</si>
  <si>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</si>
  <si>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</si>
  <si>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</si>
  <si>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</si>
  <si>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</si>
  <si>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</si>
  <si>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</si>
  <si>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</si>
  <si>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</si>
  <si>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</si>
  <si>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</si>
  <si>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</si>
  <si>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</si>
  <si>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</si>
  <si>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</si>
  <si>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</si>
  <si>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</si>
  <si>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</si>
  <si>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</si>
  <si>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</si>
  <si>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</si>
  <si>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</si>
  <si>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</si>
  <si>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</si>
  <si>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</si>
  <si>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</si>
  <si>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</si>
  <si>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</si>
  <si>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</si>
  <si>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</si>
  <si>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</si>
  <si>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</si>
  <si>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</si>
  <si>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</si>
  <si>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</si>
  <si>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</si>
  <si>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</si>
  <si>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</si>
  <si>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</si>
  <si>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</si>
  <si>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</si>
  <si>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</si>
  <si>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</si>
  <si>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</si>
  <si>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</si>
  <si>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</si>
  <si>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</si>
  <si>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</si>
  <si>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</si>
  <si>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</si>
  <si>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</si>
  <si>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</si>
  <si>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</si>
  <si>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</si>
  <si>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</si>
  <si>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</si>
  <si>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</si>
  <si>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</si>
  <si>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</si>
  <si>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</si>
  <si>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</si>
  <si>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</si>
  <si>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</si>
  <si>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</si>
  <si>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</si>
  <si>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</si>
  <si>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</si>
  <si>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</si>
  <si>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</si>
  <si>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</si>
  <si>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</si>
  <si>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</si>
  <si>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</si>
  <si>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</si>
  <si>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</si>
  <si>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</si>
  <si>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</si>
  <si>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</si>
  <si>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</si>
  <si>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</si>
  <si>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</si>
  <si>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</si>
  <si>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</si>
  <si>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</si>
  <si>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</si>
  <si>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</si>
  <si>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</si>
  <si>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</si>
  <si>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</si>
  <si>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</si>
  <si>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</si>
  <si>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</si>
  <si>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</si>
  <si>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</si>
  <si>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</si>
  <si>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</si>
  <si>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</si>
  <si>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</si>
  <si>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</si>
  <si>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</si>
  <si>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</si>
  <si>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</si>
  <si>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</si>
  <si>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</si>
  <si>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</si>
  <si>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</si>
  <si>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</si>
  <si>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</si>
  <si>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</si>
  <si>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</si>
  <si>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</si>
  <si>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</si>
  <si>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</si>
  <si>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</si>
  <si>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</si>
  <si>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</si>
  <si>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</si>
  <si>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</si>
  <si>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</si>
  <si>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</si>
  <si>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</si>
  <si>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</si>
  <si>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</si>
  <si>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</si>
  <si>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</si>
  <si>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</si>
  <si>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</si>
  <si>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</si>
  <si>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</si>
  <si>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</si>
  <si>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</si>
  <si>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</si>
  <si>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</si>
  <si>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</si>
  <si>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</si>
  <si>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</si>
  <si>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</si>
  <si>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</si>
  <si>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</si>
  <si>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</si>
  <si>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</si>
  <si>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</si>
  <si>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</si>
  <si>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</si>
  <si>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</si>
  <si>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</si>
  <si>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</si>
  <si>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</si>
  <si>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</si>
  <si>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</si>
  <si>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</si>
  <si>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</si>
  <si>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</si>
  <si>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</si>
  <si>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</si>
  <si>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</si>
  <si>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</si>
  <si>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</si>
  <si>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</si>
  <si>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</si>
  <si>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</si>
  <si>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</si>
  <si>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</si>
  <si>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</si>
  <si>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</si>
  <si>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</si>
  <si>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</si>
  <si>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</si>
  <si>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</si>
  <si>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</si>
  <si>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</si>
  <si>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</si>
  <si>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</si>
  <si>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</si>
  <si>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</si>
  <si>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</si>
  <si>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</si>
  <si>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</si>
  <si>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</si>
  <si>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</si>
  <si>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</si>
  <si>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</si>
  <si>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</si>
  <si>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</si>
  <si>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</si>
  <si>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</si>
  <si>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</si>
  <si>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</si>
  <si>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</si>
  <si>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</si>
  <si>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</si>
  <si>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</si>
  <si>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</si>
  <si>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</si>
  <si>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</si>
  <si>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</si>
  <si>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</si>
  <si>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</si>
  <si>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</si>
  <si>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</si>
  <si>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</si>
  <si>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</si>
  <si>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</si>
  <si>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</si>
  <si>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</si>
  <si>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</si>
  <si>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</si>
  <si>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</si>
  <si>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</si>
  <si>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</si>
  <si>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</si>
  <si>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</si>
  <si>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</si>
  <si>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</si>
  <si>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</si>
  <si>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</si>
  <si>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</si>
  <si>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</si>
  <si>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</si>
  <si>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</si>
  <si>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</si>
  <si>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</si>
  <si>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</si>
  <si>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</si>
  <si>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</si>
  <si>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</si>
  <si>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</si>
  <si>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</si>
  <si>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</si>
  <si>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</si>
  <si>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</si>
  <si>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</si>
  <si>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</si>
  <si>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</si>
  <si>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</si>
  <si>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</si>
  <si>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</si>
  <si>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</si>
  <si>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</si>
  <si>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</si>
  <si>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</si>
  <si>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</si>
  <si>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</si>
  <si>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</si>
  <si>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</si>
  <si>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</si>
  <si>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</si>
  <si>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</si>
  <si>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</si>
  <si>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</si>
  <si>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</si>
  <si>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</si>
  <si>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</si>
  <si>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</si>
  <si>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</si>
  <si>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</si>
  <si>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</si>
  <si>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</si>
  <si>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</si>
  <si>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</si>
  <si>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</si>
  <si>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</si>
  <si>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</si>
  <si>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</si>
  <si>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</si>
  <si>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</si>
  <si>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</si>
  <si>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</si>
  <si>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</si>
  <si>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</si>
  <si>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</si>
  <si>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</si>
  <si>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</si>
  <si>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</si>
  <si>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</si>
  <si>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</si>
  <si>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</si>
  <si>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</si>
  <si>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</si>
  <si>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</si>
  <si>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</si>
  <si>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</si>
  <si>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</si>
  <si>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</si>
  <si>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</si>
  <si>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</si>
  <si>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</si>
  <si>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</si>
  <si>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</si>
  <si>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</si>
  <si>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</si>
  <si>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</si>
  <si>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</si>
  <si>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</si>
  <si>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</si>
  <si>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</si>
  <si>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</si>
  <si>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</si>
  <si>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</si>
  <si>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</si>
  <si>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</si>
  <si>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</si>
  <si>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</si>
  <si>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</si>
  <si>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</si>
  <si>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</si>
  <si>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</si>
  <si>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</si>
  <si>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</si>
  <si>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</si>
  <si>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</si>
  <si>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</si>
  <si>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</si>
  <si>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</si>
  <si>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</si>
  <si>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</si>
  <si>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</si>
  <si>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</si>
  <si>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</si>
  <si>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</si>
  <si>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</si>
  <si>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</si>
  <si>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</si>
  <si>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</si>
  <si>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</si>
  <si>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</si>
  <si>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</si>
  <si>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</si>
  <si>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</si>
  <si>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</si>
  <si>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</si>
  <si>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</si>
  <si>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</si>
  <si>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</si>
  <si>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</si>
  <si>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</si>
  <si>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</si>
  <si>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</si>
  <si>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</si>
  <si>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</si>
  <si>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</si>
  <si>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</si>
  <si>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</si>
  <si>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</si>
  <si>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</si>
  <si>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</si>
  <si>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</si>
  <si>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</si>
  <si>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</si>
  <si>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</si>
  <si>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</si>
  <si>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</si>
  <si>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</si>
  <si>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</si>
  <si>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</si>
  <si>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</si>
  <si>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</si>
  <si>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</si>
  <si>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</si>
  <si>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</si>
  <si>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</si>
  <si>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</si>
  <si>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</si>
  <si>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</si>
  <si>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</si>
  <si>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</si>
  <si>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</si>
  <si>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</si>
  <si>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</si>
  <si>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</si>
  <si>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</si>
  <si>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</si>
  <si>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</si>
  <si>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</si>
  <si>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</si>
  <si>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</si>
  <si>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</si>
  <si>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</si>
  <si>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</si>
  <si>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</si>
  <si>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</si>
  <si>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</si>
  <si>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</si>
  <si>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</si>
  <si>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</si>
  <si>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</si>
  <si>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</si>
  <si>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</si>
  <si>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</si>
  <si>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</si>
  <si>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</si>
  <si>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</si>
  <si>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</si>
  <si>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</si>
  <si>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</si>
  <si>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</si>
  <si>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</si>
  <si>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</si>
  <si>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</si>
  <si>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</si>
  <si>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</si>
  <si>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</si>
  <si>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</si>
  <si>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</si>
  <si>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</si>
  <si>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</si>
  <si>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</si>
  <si>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</si>
  <si>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</si>
  <si>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</si>
  <si>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</si>
  <si>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</si>
  <si>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</si>
  <si>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</si>
  <si>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</si>
  <si>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</si>
  <si>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</si>
  <si>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</si>
  <si>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</si>
  <si>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</si>
  <si>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</si>
  <si>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</si>
  <si>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</si>
  <si>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</si>
  <si>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</si>
  <si>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</si>
  <si>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</si>
  <si>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</si>
  <si>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</si>
  <si>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</si>
  <si>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</si>
  <si>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</si>
  <si>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</si>
  <si>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</si>
  <si>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</si>
  <si>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</si>
  <si>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</si>
  <si>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</si>
  <si>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</si>
  <si>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</si>
  <si>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</si>
  <si>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</si>
  <si>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</si>
  <si>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</si>
  <si>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</si>
  <si>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</si>
  <si>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</si>
  <si>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</si>
  <si>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</si>
  <si>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</si>
  <si>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</si>
  <si>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</si>
  <si>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</si>
  <si>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</si>
  <si>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</si>
  <si>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</si>
  <si>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</si>
  <si>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</si>
  <si>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</si>
  <si>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</si>
  <si>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</si>
  <si>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</si>
  <si>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</si>
  <si>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</si>
  <si>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</si>
  <si>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</si>
  <si>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</si>
  <si>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</si>
  <si>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</si>
  <si>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</si>
  <si>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</si>
  <si>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</si>
  <si>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</si>
  <si>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</si>
  <si>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</si>
  <si>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</si>
  <si>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</si>
  <si>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</si>
  <si>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</si>
  <si>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</si>
  <si>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</si>
  <si>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</si>
  <si>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</si>
  <si>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</si>
  <si>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</si>
  <si>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</si>
  <si>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</si>
  <si>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</si>
  <si>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</si>
  <si>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</si>
  <si>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</si>
  <si>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</si>
  <si>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</si>
  <si>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</si>
  <si>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</si>
  <si>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</si>
  <si>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</si>
  <si>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</si>
  <si>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</si>
  <si>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</si>
  <si>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</si>
  <si>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</si>
  <si>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</si>
  <si>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</si>
  <si>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</si>
  <si>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</si>
  <si>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</si>
  <si>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</si>
  <si>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</si>
  <si>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</si>
  <si>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</si>
  <si>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</si>
  <si>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</si>
  <si>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</si>
  <si>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</si>
  <si>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</si>
  <si>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</si>
  <si>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</si>
  <si>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</si>
  <si>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</si>
  <si>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</si>
  <si>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</si>
  <si>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</si>
  <si>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</si>
  <si>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</si>
  <si>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</si>
  <si>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</si>
  <si>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</si>
  <si>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</si>
  <si>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</si>
  <si>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</si>
  <si>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</si>
  <si>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</si>
  <si>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</si>
  <si>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</si>
  <si>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</si>
  <si>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</si>
  <si>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</si>
  <si>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</si>
  <si>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</si>
  <si>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</si>
  <si>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</si>
  <si>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</si>
  <si>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</si>
  <si>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</si>
  <si>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</si>
  <si>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</si>
  <si>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</si>
  <si>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</si>
  <si>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</si>
  <si>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</si>
  <si>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</si>
  <si>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</si>
  <si>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</si>
  <si>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</si>
  <si>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</si>
  <si>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</si>
  <si>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</si>
  <si>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</si>
  <si>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</si>
  <si>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</si>
  <si>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</si>
  <si>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</si>
  <si>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</si>
  <si>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</si>
  <si>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</si>
  <si>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</si>
  <si>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</si>
  <si>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</si>
  <si>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</si>
  <si>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</si>
  <si>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</si>
  <si>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</si>
  <si>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</si>
  <si>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</si>
  <si>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</si>
  <si>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</si>
  <si>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</si>
  <si>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</si>
  <si>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</si>
  <si>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</si>
  <si>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</si>
  <si>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</si>
  <si>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</si>
  <si>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</si>
  <si>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</si>
  <si>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</si>
  <si>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</si>
  <si>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</si>
  <si>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</si>
  <si>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</si>
  <si>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</si>
  <si>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</si>
  <si>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</si>
  <si>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</si>
  <si>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</si>
  <si>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</si>
  <si>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</si>
  <si>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</si>
  <si>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</si>
  <si>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</si>
  <si>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</si>
  <si>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</si>
  <si>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</si>
  <si>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</si>
  <si>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</si>
  <si>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</si>
  <si>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</si>
  <si>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</si>
  <si>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</si>
  <si>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</si>
  <si>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</si>
  <si>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</si>
  <si>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</si>
  <si>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</si>
  <si>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</si>
  <si>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</si>
  <si>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</si>
  <si>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</si>
  <si>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</si>
  <si>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</si>
  <si>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</si>
  <si>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</si>
  <si>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</si>
  <si>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</si>
  <si>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</si>
  <si>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</si>
  <si>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</si>
  <si>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</si>
  <si>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</si>
  <si>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</si>
  <si>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</si>
  <si>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</si>
  <si>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</si>
  <si>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</si>
  <si>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</si>
  <si>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</si>
  <si>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</si>
  <si>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</si>
  <si>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</si>
  <si>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</si>
  <si>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</si>
  <si>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</si>
  <si>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</si>
  <si>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</si>
  <si>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</si>
  <si>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</si>
  <si>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</si>
  <si>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</si>
  <si>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</si>
  <si>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</si>
  <si>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</si>
  <si>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</si>
  <si>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</si>
  <si>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</si>
  <si>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</si>
  <si>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</si>
  <si>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</si>
  <si>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</si>
  <si>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</si>
  <si>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</si>
  <si>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</si>
  <si>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</si>
  <si>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</si>
  <si>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</si>
  <si>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</si>
  <si>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</si>
  <si>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</si>
  <si>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</si>
  <si>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</si>
  <si>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</si>
  <si>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</si>
  <si>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</si>
  <si>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</si>
  <si>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</si>
  <si>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</si>
  <si>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</si>
  <si>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</si>
  <si>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</si>
  <si>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</si>
  <si>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</si>
  <si>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</si>
  <si>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</si>
  <si>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</si>
  <si>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</si>
  <si>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</si>
  <si>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</si>
  <si>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</si>
  <si>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</si>
  <si>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</si>
  <si>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</si>
  <si>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</si>
  <si>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</si>
  <si>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</si>
  <si>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</si>
  <si>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</si>
  <si>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</si>
  <si>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</si>
  <si>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</si>
  <si>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</si>
  <si>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</si>
  <si>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</si>
  <si>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</si>
  <si>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</si>
  <si>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</si>
  <si>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</si>
  <si>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</si>
  <si>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</si>
  <si>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</si>
  <si>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</si>
  <si>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</si>
  <si>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</si>
  <si>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</si>
  <si>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</si>
  <si>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</si>
  <si>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</si>
  <si>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</si>
  <si>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</si>
  <si>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</si>
  <si>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</si>
  <si>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</si>
  <si>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</si>
  <si>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</si>
  <si>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</si>
  <si>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</si>
  <si>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</si>
  <si>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</si>
  <si>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</si>
  <si>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</si>
  <si>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</si>
  <si>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</si>
  <si>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</si>
  <si>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</si>
  <si>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</si>
  <si>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</si>
  <si>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</si>
  <si>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</si>
  <si>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</si>
  <si>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</si>
  <si>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</si>
  <si>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</si>
  <si>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</si>
  <si>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</si>
  <si>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</si>
  <si>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</si>
  <si>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</si>
  <si>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</si>
  <si>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</si>
  <si>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</si>
  <si>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</si>
  <si>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</si>
  <si>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</si>
  <si>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</si>
  <si>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</si>
  <si>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</si>
  <si>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</si>
  <si>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</si>
  <si>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</si>
  <si>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</si>
  <si>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</si>
  <si>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</si>
  <si>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</si>
  <si>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</si>
  <si>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</si>
  <si>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</si>
  <si>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</si>
  <si>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</si>
  <si>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</si>
  <si>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</si>
  <si>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</si>
  <si>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</si>
  <si>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</si>
  <si>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</si>
  <si>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</si>
  <si>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</si>
  <si>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</si>
  <si>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</si>
  <si>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</si>
  <si>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</si>
  <si>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</si>
  <si>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</si>
  <si>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</si>
  <si>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</si>
  <si>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</si>
  <si>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</si>
  <si>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</si>
  <si>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</si>
  <si>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</si>
  <si>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</si>
  <si>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</si>
  <si>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</si>
  <si>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</si>
  <si>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</si>
  <si>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</si>
  <si>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</si>
  <si>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</si>
  <si>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</si>
  <si>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</si>
  <si>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</si>
  <si>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</si>
  <si>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</si>
  <si>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</si>
  <si>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</si>
  <si>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</si>
  <si>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</si>
  <si>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</si>
  <si>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</si>
  <si>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</si>
  <si>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</si>
  <si>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</si>
  <si>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</si>
  <si>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</si>
  <si>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</si>
  <si>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</si>
  <si>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</si>
  <si>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</si>
  <si>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</si>
  <si>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</si>
  <si>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</si>
  <si>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</si>
  <si>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</si>
  <si>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</si>
  <si>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</si>
  <si>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</si>
  <si>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</si>
  <si>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</si>
  <si>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</si>
  <si>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</si>
  <si>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</si>
  <si>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</si>
  <si>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</si>
  <si>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</si>
  <si>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</si>
  <si>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</si>
  <si>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</si>
  <si>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</si>
  <si>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</si>
  <si>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</si>
  <si>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</si>
  <si>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</si>
  <si>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</si>
  <si>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</si>
  <si>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</si>
  <si>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</si>
  <si>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</si>
  <si>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</si>
  <si>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</si>
  <si>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</si>
  <si>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</si>
  <si>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</si>
  <si>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</si>
  <si>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</si>
  <si>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</si>
  <si>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</si>
  <si>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</si>
  <si>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</si>
  <si>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</si>
  <si>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</si>
  <si>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</si>
  <si>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</si>
  <si>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</si>
  <si>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</si>
  <si>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</si>
  <si>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</si>
  <si>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</si>
  <si>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</si>
  <si>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</si>
  <si>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</si>
  <si>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</si>
  <si>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</si>
  <si>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</si>
  <si>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</si>
  <si>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</si>
  <si>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</si>
  <si>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</si>
  <si>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</si>
  <si>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</si>
  <si>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</si>
  <si>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</si>
  <si>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</si>
  <si>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</si>
  <si>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</si>
  <si>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</si>
  <si>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</si>
  <si>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</si>
  <si>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</si>
  <si>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</si>
  <si>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</si>
  <si>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</si>
  <si>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</si>
  <si>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</si>
  <si>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</si>
  <si>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</si>
  <si>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</si>
  <si>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</si>
  <si>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</si>
  <si>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</si>
  <si>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</si>
  <si>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</si>
  <si>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</si>
  <si>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</si>
  <si>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</si>
  <si>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</si>
  <si>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</si>
  <si>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</si>
  <si>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</si>
  <si>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</si>
  <si>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</si>
  <si>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</si>
  <si>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</si>
  <si>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</si>
  <si>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</si>
  <si>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</si>
  <si>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</si>
  <si>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</si>
  <si>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</si>
  <si>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</si>
  <si>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</si>
  <si>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</si>
  <si>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</si>
  <si>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</si>
  <si>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</si>
  <si>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</si>
  <si>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</si>
  <si>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</si>
  <si>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</si>
  <si>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</si>
  <si>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</si>
  <si>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</si>
  <si>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</si>
  <si>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</si>
  <si>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</si>
  <si>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</si>
  <si>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</si>
  <si>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</si>
  <si>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</si>
  <si>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</si>
  <si>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</si>
  <si>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</si>
  <si>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</si>
  <si>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</si>
  <si>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</si>
  <si>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</si>
  <si>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</si>
  <si>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</si>
  <si>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</si>
  <si>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</si>
  <si>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</si>
  <si>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</si>
  <si>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</si>
  <si>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</si>
  <si>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</si>
  <si>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</si>
  <si>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</si>
  <si>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</si>
  <si>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</si>
  <si>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</si>
  <si>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</si>
  <si>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</si>
  <si>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</si>
  <si>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</si>
  <si>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</si>
  <si>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</si>
  <si>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</si>
  <si>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</si>
  <si>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</si>
  <si>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</si>
  <si>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</si>
  <si>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</si>
  <si>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</si>
  <si>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</si>
  <si>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</si>
  <si>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</si>
  <si>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</si>
  <si>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</si>
  <si>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</si>
  <si>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</si>
  <si>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</si>
  <si>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</si>
  <si>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</si>
  <si>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</si>
  <si>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</si>
  <si>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</si>
  <si>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</si>
  <si>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</si>
  <si>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</si>
  <si>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</si>
  <si>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</si>
  <si>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</si>
  <si>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</si>
  <si>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</si>
  <si>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</si>
  <si>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</si>
  <si>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</si>
  <si>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</si>
  <si>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</si>
  <si>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</si>
  <si>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</si>
  <si>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</si>
  <si>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</si>
  <si>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</si>
  <si>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</si>
  <si>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</si>
  <si>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</si>
  <si>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</si>
  <si>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</si>
  <si>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</si>
  <si>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</si>
  <si>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</si>
  <si>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</si>
  <si>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</si>
  <si>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</si>
  <si>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</si>
  <si>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</si>
  <si>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</si>
  <si>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</si>
  <si>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</si>
  <si>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</si>
  <si>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</si>
  <si>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</si>
  <si>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</si>
  <si>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</si>
  <si>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</si>
  <si>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</si>
  <si>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</si>
  <si>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</si>
  <si>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</si>
  <si>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</si>
  <si>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</si>
  <si>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</si>
  <si>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</si>
  <si>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</si>
  <si>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</si>
  <si>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</si>
  <si>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</si>
  <si>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</si>
  <si>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</si>
  <si>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</si>
  <si>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</si>
  <si>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</si>
  <si>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</si>
  <si>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</si>
  <si>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</si>
  <si>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</si>
  <si>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</si>
  <si>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</si>
  <si>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</si>
  <si>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</si>
  <si>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</si>
  <si>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</si>
  <si>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</si>
  <si>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</si>
  <si>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</si>
  <si>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</si>
  <si>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</si>
  <si>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</si>
  <si>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</si>
  <si>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</si>
  <si>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</si>
  <si>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</si>
  <si>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</si>
  <si>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</si>
  <si>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</si>
  <si>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</si>
  <si>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</si>
  <si>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</si>
  <si>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</si>
  <si>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</si>
  <si>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</si>
  <si>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</si>
  <si>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</si>
  <si>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</si>
  <si>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</si>
  <si>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</si>
  <si>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</si>
  <si>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</si>
  <si>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</si>
  <si>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</si>
  <si>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</si>
  <si>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</si>
  <si>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</si>
  <si>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</si>
  <si>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</si>
  <si>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</si>
  <si>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</si>
  <si>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</si>
  <si>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</si>
  <si>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</si>
  <si>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</si>
  <si>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</si>
  <si>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</si>
  <si>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</si>
  <si>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</si>
  <si>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</si>
  <si>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</si>
  <si>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</si>
  <si>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</si>
  <si>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</si>
  <si>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</si>
  <si>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</si>
  <si>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</si>
  <si>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</si>
  <si>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</si>
  <si>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</si>
  <si>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</si>
  <si>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</si>
  <si>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</si>
  <si>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</si>
  <si>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</si>
  <si>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</si>
  <si>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</si>
  <si>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</si>
  <si>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</si>
  <si>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</si>
  <si>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</si>
  <si>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</si>
  <si>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</si>
  <si>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</si>
  <si>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</si>
  <si>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</si>
  <si>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</si>
  <si>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</si>
  <si>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</si>
  <si>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</si>
  <si>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</si>
  <si>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</si>
  <si>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</si>
  <si>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</si>
  <si>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</si>
  <si>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</si>
  <si>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</si>
  <si>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</si>
  <si>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</si>
  <si>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</si>
  <si>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</si>
  <si>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</si>
  <si>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</si>
  <si>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</si>
  <si>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</si>
  <si>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</si>
  <si>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</si>
  <si>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</si>
  <si>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</si>
  <si>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</si>
  <si>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</si>
  <si>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</si>
  <si>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</si>
  <si>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</si>
  <si>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</si>
  <si>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</si>
  <si>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</si>
  <si>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</si>
  <si>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</si>
  <si>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</si>
  <si>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</si>
  <si>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</si>
  <si>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</si>
  <si>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</si>
  <si>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</si>
  <si>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</si>
  <si>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</si>
  <si>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</si>
  <si>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</si>
  <si>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</si>
  <si>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</si>
  <si>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</si>
  <si>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</si>
  <si>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</si>
  <si>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</si>
  <si>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</si>
  <si>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</si>
  <si>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</si>
  <si>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</si>
  <si>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</si>
  <si>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</si>
  <si>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</si>
  <si>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</si>
  <si>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</si>
  <si>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</si>
  <si>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</si>
  <si>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</si>
  <si>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</si>
  <si>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</si>
  <si>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</si>
  <si>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</si>
  <si>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</si>
  <si>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</si>
  <si>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</si>
  <si>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</si>
  <si>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</si>
  <si>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</si>
  <si>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</si>
  <si>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</si>
  <si>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</si>
  <si>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</si>
  <si>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</si>
  <si>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</si>
  <si>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</si>
  <si>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</si>
  <si>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</si>
  <si>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</si>
  <si>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</si>
  <si>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</si>
  <si>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</si>
  <si>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</si>
  <si>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</si>
  <si>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</si>
  <si>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</si>
  <si>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</si>
  <si>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</si>
  <si>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</si>
  <si>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</si>
  <si>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</si>
  <si>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</si>
  <si>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</si>
  <si>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</si>
  <si>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</si>
  <si>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</si>
  <si>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</si>
  <si>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</si>
  <si>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</si>
  <si>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</si>
  <si>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</si>
  <si>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</si>
  <si>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</si>
  <si>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</si>
  <si>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</si>
  <si>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</si>
  <si>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</si>
  <si>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</si>
  <si>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</si>
  <si>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</si>
  <si>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</si>
  <si>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</si>
  <si>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</si>
  <si>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</si>
  <si>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</si>
  <si>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</si>
  <si>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</si>
  <si>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</si>
  <si>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</si>
  <si>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</si>
  <si>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</si>
  <si>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</si>
  <si>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</si>
  <si>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</si>
  <si>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</si>
  <si>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</si>
  <si>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</si>
  <si>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</si>
  <si>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</si>
  <si>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</si>
  <si>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</si>
  <si>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</si>
  <si>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</si>
  <si>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</si>
  <si>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</si>
  <si>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</si>
  <si>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</si>
  <si>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</si>
  <si>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</si>
  <si>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</si>
  <si>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</si>
  <si>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</si>
  <si>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</si>
  <si>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</si>
  <si>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</si>
  <si>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</si>
  <si>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</si>
  <si>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</si>
  <si>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</si>
  <si>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</si>
  <si>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</si>
  <si>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</si>
  <si>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</si>
  <si>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</si>
  <si>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</si>
  <si>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</si>
  <si>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</si>
  <si>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</si>
  <si>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</si>
  <si>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</si>
  <si>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</si>
  <si>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</si>
  <si>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</si>
  <si>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</si>
  <si>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</si>
  <si>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</si>
  <si>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</si>
  <si>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</si>
  <si>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</si>
  <si>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</si>
  <si>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</si>
  <si>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</si>
  <si>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</si>
  <si>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</si>
  <si>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</si>
  <si>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</si>
  <si>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</si>
  <si>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</si>
  <si>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</si>
  <si>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</si>
  <si>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</si>
  <si>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</si>
  <si>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</si>
  <si>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</si>
  <si>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</si>
  <si>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</si>
  <si>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</si>
  <si>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</si>
  <si>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</si>
  <si>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</si>
  <si>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</si>
  <si>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</si>
  <si>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</si>
  <si>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</si>
  <si>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</si>
  <si>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</si>
  <si>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</si>
  <si>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</si>
  <si>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</si>
  <si>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</si>
  <si>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</si>
  <si>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</si>
  <si>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</si>
  <si>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</si>
  <si>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</si>
  <si>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</si>
  <si>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</si>
  <si>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</si>
  <si>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</si>
  <si>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</si>
  <si>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</si>
  <si>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</si>
  <si>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</si>
  <si>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</si>
  <si>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</si>
  <si>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</si>
  <si>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</si>
  <si>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</si>
  <si>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</si>
  <si>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</si>
  <si>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</si>
  <si>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</si>
  <si>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</si>
  <si>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</si>
  <si>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</si>
  <si>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</si>
  <si>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</si>
  <si>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</si>
  <si>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</si>
  <si>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</si>
  <si>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</si>
  <si>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</si>
  <si>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</si>
  <si>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</si>
  <si>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</si>
  <si>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</si>
  <si>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</si>
  <si>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</si>
  <si>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</si>
  <si>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</si>
  <si>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</si>
  <si>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</si>
  <si>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</si>
  <si>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</si>
  <si>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</si>
  <si>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</si>
  <si>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</si>
  <si>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</si>
  <si>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</si>
  <si>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</si>
  <si>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</si>
  <si>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</si>
  <si>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</si>
  <si>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</si>
  <si>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</si>
  <si>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</si>
  <si>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</si>
  <si>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</si>
  <si>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</si>
  <si>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</si>
  <si>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</si>
  <si>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</si>
  <si>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</si>
  <si>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</si>
  <si>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</si>
  <si>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</si>
  <si>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</si>
  <si>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</si>
  <si>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</si>
  <si>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</si>
  <si>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</si>
  <si>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</si>
  <si>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</si>
  <si>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</si>
  <si>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</si>
  <si>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</si>
  <si>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</si>
  <si>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</si>
  <si>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</si>
  <si>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</si>
  <si>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</si>
  <si>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</si>
  <si>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</si>
  <si>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</si>
  <si>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</si>
  <si>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</si>
  <si>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</si>
  <si>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</si>
  <si>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</si>
  <si>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</si>
  <si>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</si>
  <si>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</si>
  <si>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</si>
  <si>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</si>
  <si>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</si>
  <si>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</si>
  <si>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</si>
  <si>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</si>
  <si>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</si>
  <si>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</si>
  <si>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</si>
  <si>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</si>
  <si>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</si>
  <si>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</si>
  <si>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</si>
  <si>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</si>
  <si>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</si>
  <si>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</si>
  <si>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</si>
  <si>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</si>
  <si>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</si>
  <si>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</si>
  <si>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</si>
  <si>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</si>
  <si>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</si>
  <si>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</si>
  <si>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</si>
  <si>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</si>
  <si>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</si>
  <si>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</si>
  <si>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</si>
  <si>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</si>
  <si>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</si>
  <si>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</si>
  <si>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</si>
  <si>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</si>
  <si>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</si>
  <si>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</si>
  <si>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</si>
  <si>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</si>
  <si>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</si>
  <si>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</si>
  <si>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</si>
  <si>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</si>
  <si>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</si>
  <si>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</si>
  <si>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</si>
  <si>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</si>
  <si>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</si>
  <si>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</si>
  <si>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</si>
  <si>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</si>
  <si>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</si>
  <si>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</si>
  <si>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</si>
  <si>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</si>
  <si>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</si>
  <si>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</si>
  <si>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</si>
  <si>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</si>
  <si>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</si>
  <si>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</si>
  <si>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</si>
  <si>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</si>
  <si>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</si>
  <si>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</si>
  <si>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</si>
  <si>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</si>
  <si>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</si>
  <si>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</si>
  <si>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</si>
  <si>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</si>
  <si>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</si>
  <si>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</si>
  <si>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</si>
  <si>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</si>
  <si>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</si>
  <si>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</si>
  <si>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</si>
  <si>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</si>
  <si>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</si>
  <si>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</si>
  <si>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</si>
  <si>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</si>
  <si>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</si>
  <si>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</si>
  <si>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</si>
  <si>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</si>
  <si>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</si>
  <si>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</si>
  <si>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</si>
  <si>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</si>
  <si>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</si>
  <si>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</si>
  <si>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</si>
  <si>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</si>
  <si>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</si>
  <si>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</si>
  <si>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</si>
  <si>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</si>
  <si>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</si>
  <si>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</si>
  <si>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</si>
  <si>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</si>
  <si>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</si>
  <si>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</si>
  <si>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</si>
  <si>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</si>
  <si>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</si>
  <si>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</si>
  <si>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</si>
  <si>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</si>
  <si>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</si>
  <si>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</si>
  <si>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</si>
  <si>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</si>
  <si>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</si>
  <si>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</si>
  <si>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</si>
  <si>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</si>
  <si>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</si>
  <si>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</si>
  <si>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</si>
  <si>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</si>
  <si>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</si>
  <si>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</si>
  <si>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</si>
  <si>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</si>
  <si>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</si>
  <si>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</si>
  <si>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</si>
  <si>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</si>
  <si>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</si>
  <si>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</si>
  <si>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</si>
  <si>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</si>
  <si>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</si>
  <si>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</si>
  <si>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</si>
  <si>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</si>
  <si>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</si>
  <si>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</si>
  <si>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</si>
  <si>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</si>
  <si>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</si>
  <si>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</si>
  <si>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</si>
  <si>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</si>
  <si>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</si>
  <si>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</si>
  <si>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</si>
  <si>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</si>
  <si>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</si>
  <si>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</si>
  <si>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</si>
  <si>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</si>
  <si>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</si>
  <si>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</si>
  <si>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</si>
  <si>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</si>
  <si>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</si>
  <si>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</si>
  <si>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</si>
  <si>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</si>
  <si>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</si>
  <si>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</si>
  <si>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</si>
  <si>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</si>
  <si>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</si>
  <si>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</si>
  <si>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</si>
  <si>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</si>
  <si>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</si>
  <si>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</si>
  <si>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</si>
  <si>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</si>
  <si>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</si>
  <si>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</si>
  <si>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</si>
  <si>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</si>
  <si>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</si>
  <si>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</si>
  <si>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</si>
  <si>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</si>
  <si>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</si>
  <si>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</si>
  <si>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</si>
  <si>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</si>
  <si>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</si>
  <si>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</si>
  <si>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</si>
  <si>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</si>
  <si>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</si>
  <si>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</si>
  <si>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</si>
  <si>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</si>
  <si>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</si>
  <si>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</si>
  <si>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</si>
  <si>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</si>
  <si>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</si>
  <si>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</si>
  <si>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</si>
  <si>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</si>
  <si>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</si>
  <si>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</si>
  <si>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</si>
  <si>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</si>
  <si>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</si>
  <si>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</si>
  <si>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</si>
  <si>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</si>
  <si>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</si>
  <si>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</si>
  <si>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</si>
  <si>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</si>
  <si>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</si>
  <si>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</si>
  <si>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</si>
  <si>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</si>
  <si>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</si>
  <si>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</si>
  <si>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</si>
  <si>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</si>
  <si>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</si>
  <si>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</si>
  <si>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</si>
  <si>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</si>
  <si>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</si>
  <si>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</si>
  <si>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</si>
  <si>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</si>
  <si>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</si>
  <si>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</si>
  <si>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</si>
  <si>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</si>
  <si>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</si>
  <si>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</si>
  <si>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</si>
  <si>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</si>
  <si>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</si>
  <si>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</si>
  <si>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</si>
  <si>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</si>
  <si>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</si>
  <si>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</si>
  <si>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</si>
  <si>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</si>
  <si>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</si>
  <si>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</si>
  <si>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</si>
  <si>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</si>
  <si>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</si>
  <si>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</si>
  <si>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</si>
  <si>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</si>
  <si>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</si>
  <si>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</si>
  <si>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</si>
  <si>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</si>
  <si>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</si>
  <si>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</si>
  <si>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</si>
  <si>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</si>
  <si>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</si>
  <si>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</si>
  <si>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</si>
  <si>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</si>
  <si>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</si>
  <si>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</si>
  <si>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</si>
  <si>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</si>
  <si>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</si>
  <si>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</si>
  <si>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</si>
  <si>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</si>
  <si>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</si>
  <si>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</si>
  <si>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</si>
  <si>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</si>
  <si>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</si>
  <si>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</si>
  <si>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</si>
  <si>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</si>
  <si>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</si>
  <si>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</si>
  <si>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</si>
  <si>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</si>
  <si>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</si>
  <si>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</si>
  <si>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</si>
  <si>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</si>
  <si>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</si>
  <si>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</si>
  <si>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</si>
  <si>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</si>
  <si>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</si>
  <si>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</si>
  <si>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</si>
  <si>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</si>
  <si>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</si>
  <si>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</si>
  <si>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</si>
  <si>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</si>
  <si>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</si>
  <si>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</si>
  <si>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</si>
  <si>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</si>
  <si>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</si>
  <si>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</si>
  <si>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</si>
  <si>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</si>
  <si>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</si>
  <si>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</si>
  <si>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</si>
  <si>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</si>
  <si>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</si>
  <si>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</si>
  <si>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</si>
  <si>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</si>
  <si>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</si>
  <si>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</si>
  <si>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</si>
  <si>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</si>
  <si>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</si>
  <si>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</si>
  <si>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</si>
  <si>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</si>
  <si>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</si>
  <si>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</si>
  <si>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</si>
  <si>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</si>
  <si>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</si>
  <si>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</si>
  <si>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</si>
  <si>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</si>
  <si>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</si>
  <si>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</si>
  <si>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</si>
  <si>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</si>
  <si>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</si>
  <si>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</si>
  <si>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</si>
  <si>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</si>
  <si>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</si>
  <si>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</si>
  <si>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</si>
  <si>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</si>
  <si>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</si>
  <si>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</si>
  <si>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</si>
  <si>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</si>
  <si>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</si>
  <si>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</si>
  <si>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</si>
  <si>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</si>
  <si>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</si>
  <si>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</si>
  <si>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</si>
  <si>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</si>
  <si>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</si>
  <si>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</si>
  <si>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</si>
  <si>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</si>
  <si>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</si>
  <si>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</si>
  <si>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</si>
  <si>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</si>
  <si>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</si>
  <si>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</si>
  <si>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</si>
  <si>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</si>
  <si>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</si>
  <si>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</si>
  <si>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</si>
  <si>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</si>
  <si>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</si>
  <si>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</si>
  <si>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</si>
  <si>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</si>
  <si>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</si>
  <si>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</si>
  <si>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</si>
  <si>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</si>
  <si>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</si>
  <si>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</si>
  <si>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</si>
  <si>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</si>
  <si>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</si>
  <si>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</si>
  <si>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</si>
  <si>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</si>
  <si>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</si>
  <si>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</si>
  <si>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</si>
  <si>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</si>
  <si>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</si>
  <si>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</si>
  <si>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</si>
  <si>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</si>
  <si>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</si>
  <si>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</si>
  <si>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</si>
  <si>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</si>
  <si>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</si>
  <si>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</si>
  <si>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</si>
  <si>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</si>
  <si>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</si>
  <si>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</si>
  <si>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</si>
  <si>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</si>
  <si>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</si>
  <si>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</si>
  <si>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</si>
  <si>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</si>
  <si>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</si>
  <si>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</si>
  <si>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</si>
  <si>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</si>
  <si>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</si>
  <si>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</si>
  <si>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</si>
  <si>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</si>
  <si>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</si>
  <si>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</si>
  <si>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</si>
  <si>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</si>
  <si>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</si>
  <si>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</si>
  <si>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</si>
  <si>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</si>
  <si>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</si>
  <si>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</si>
  <si>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</si>
  <si>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</si>
  <si>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</si>
  <si>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</si>
  <si>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</si>
  <si>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</si>
  <si>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</si>
  <si>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</si>
  <si>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</si>
  <si>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</si>
  <si>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</si>
  <si>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</si>
  <si>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</si>
  <si>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</si>
  <si>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</si>
  <si>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</si>
  <si>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</si>
  <si>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</si>
  <si>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</si>
  <si>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</si>
  <si>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</si>
  <si>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</si>
  <si>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</si>
  <si>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</si>
  <si>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</si>
  <si>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</si>
  <si>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</si>
  <si>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</si>
  <si>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</si>
  <si>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</si>
  <si>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</si>
  <si>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</si>
  <si>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</si>
  <si>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</si>
  <si>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</si>
  <si>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</si>
  <si>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</si>
  <si>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</si>
  <si>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</si>
  <si>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</si>
  <si>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</si>
  <si>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</si>
  <si>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</si>
  <si>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</si>
  <si>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</si>
  <si>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</si>
  <si>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</si>
  <si>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</si>
  <si>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</si>
  <si>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</si>
  <si>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</si>
  <si>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</si>
  <si>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</si>
  <si>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</si>
  <si>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</si>
  <si>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</si>
  <si>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</si>
  <si>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</si>
  <si>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</si>
  <si>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</si>
  <si>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</si>
  <si>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</si>
  <si>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</si>
  <si>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</si>
  <si>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</si>
  <si>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</si>
  <si>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</si>
  <si>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</si>
  <si>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</si>
  <si>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</si>
  <si>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</si>
  <si>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</si>
  <si>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</si>
  <si>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</si>
  <si>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</si>
  <si>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</si>
  <si>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</si>
  <si>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</si>
  <si>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</si>
  <si>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</si>
  <si>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</si>
  <si>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</si>
  <si>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</si>
  <si>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</si>
  <si>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</si>
  <si>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</si>
  <si>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</si>
  <si>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</si>
  <si>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</si>
  <si>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</si>
  <si>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</si>
  <si>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</si>
  <si>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</si>
  <si>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</si>
  <si>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</si>
  <si>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</si>
  <si>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</si>
  <si>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</si>
  <si>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</si>
  <si>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</si>
  <si>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</si>
  <si>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</si>
  <si>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</si>
  <si>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</si>
  <si>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</si>
  <si>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</si>
  <si>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</si>
  <si>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</si>
  <si>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</si>
  <si>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</si>
  <si>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</si>
  <si>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</si>
  <si>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</si>
  <si>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</si>
  <si>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</si>
  <si>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</si>
  <si>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</si>
  <si>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</si>
  <si>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</si>
  <si>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</si>
  <si>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</si>
  <si>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</si>
  <si>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</si>
  <si>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</si>
  <si>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</si>
  <si>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</si>
  <si>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</si>
  <si>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</si>
  <si>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</si>
  <si>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</si>
  <si>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</si>
  <si>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</si>
  <si>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</si>
  <si>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</si>
  <si>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</si>
  <si>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</si>
  <si>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</si>
  <si>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</si>
  <si>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</si>
  <si>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</si>
  <si>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</si>
  <si>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</si>
  <si>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</si>
  <si>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</si>
  <si>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</si>
  <si>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</si>
  <si>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</si>
  <si>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</si>
  <si>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</si>
  <si>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</si>
  <si>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</si>
  <si>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</si>
  <si>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</si>
  <si>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</si>
  <si>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</si>
  <si>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</si>
  <si>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</si>
  <si>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</si>
  <si>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</si>
  <si>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</si>
  <si>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</si>
  <si>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</si>
  <si>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</si>
  <si>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</si>
  <si>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</si>
  <si>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</si>
  <si>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</si>
  <si>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</si>
  <si>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</si>
  <si>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</si>
  <si>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</si>
  <si>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</si>
  <si>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</si>
  <si>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</si>
  <si>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</si>
  <si>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</si>
  <si>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</si>
  <si>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</si>
  <si>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</si>
  <si>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</si>
  <si>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</si>
  <si>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</si>
  <si>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</si>
  <si>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</si>
  <si>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</si>
  <si>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</si>
  <si>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</si>
  <si>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</si>
  <si>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</si>
  <si>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</si>
  <si>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</si>
  <si>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</si>
  <si>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</si>
  <si>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</si>
  <si>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</si>
  <si>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</si>
  <si>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</si>
  <si>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</si>
  <si>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</si>
  <si>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</si>
  <si>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</si>
  <si>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</si>
  <si>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</si>
  <si>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</si>
  <si>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</si>
  <si>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</si>
  <si>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</si>
  <si>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</si>
  <si>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</si>
  <si>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</si>
  <si>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</si>
  <si>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</si>
  <si>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</si>
  <si>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</si>
  <si>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</si>
  <si>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</si>
  <si>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</si>
  <si>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</si>
  <si>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</si>
  <si>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</si>
  <si>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</si>
  <si>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</si>
  <si>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</si>
  <si>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</si>
  <si>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</si>
  <si>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</si>
  <si>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</si>
  <si>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</si>
  <si>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</si>
  <si>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</si>
  <si>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</si>
  <si>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</si>
  <si>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</si>
  <si>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</si>
  <si>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</si>
  <si>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</si>
  <si>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</si>
  <si>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</si>
  <si>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</si>
  <si>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</si>
  <si>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</si>
  <si>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</si>
  <si>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</si>
  <si>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</si>
  <si>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</si>
  <si>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</si>
  <si>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</si>
  <si>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</si>
  <si>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</si>
  <si>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</si>
  <si>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</si>
  <si>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</si>
  <si>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</si>
  <si>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</si>
  <si>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</si>
  <si>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</si>
  <si>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</si>
  <si>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</si>
  <si>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</si>
  <si>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</si>
  <si>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</si>
  <si>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</si>
  <si>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</si>
  <si>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</si>
  <si>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</si>
  <si>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</si>
  <si>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</si>
  <si>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</si>
  <si>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</si>
  <si>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</si>
  <si>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</si>
  <si>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</si>
  <si>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</si>
  <si>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</si>
  <si>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</si>
  <si>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</si>
  <si>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</si>
  <si>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</si>
  <si>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</si>
  <si>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</si>
  <si>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</si>
  <si>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</si>
  <si>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</si>
  <si>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</si>
  <si>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</si>
  <si>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</si>
  <si>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</si>
  <si>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</si>
  <si>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</si>
  <si>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</si>
  <si>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</si>
  <si>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</si>
  <si>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</si>
  <si>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</si>
  <si>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</si>
  <si>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</si>
  <si>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</si>
  <si>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</si>
  <si>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</si>
  <si>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</si>
  <si>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</si>
  <si>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</si>
  <si>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</si>
  <si>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</si>
  <si>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</si>
  <si>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</si>
  <si>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</si>
  <si>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</si>
  <si>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</si>
  <si>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</si>
  <si>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</si>
  <si>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</si>
  <si>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</si>
  <si>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</si>
  <si>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</si>
  <si>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</si>
  <si>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</si>
  <si>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</si>
  <si>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</si>
  <si>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</si>
  <si>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</si>
  <si>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</si>
  <si>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</si>
  <si>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</si>
  <si>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</si>
  <si>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</si>
  <si>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</si>
  <si>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</si>
  <si>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</si>
  <si>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</si>
  <si>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</si>
  <si>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</si>
  <si>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</si>
  <si>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</si>
  <si>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</si>
  <si>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</si>
  <si>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</si>
  <si>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</si>
  <si>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</si>
  <si>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</si>
  <si>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</si>
  <si>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</si>
  <si>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</si>
  <si>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</si>
  <si>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</si>
  <si>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</si>
  <si>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</si>
  <si>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</si>
  <si>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</si>
  <si>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</si>
  <si>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</si>
  <si>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</si>
  <si>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</si>
  <si>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</si>
  <si>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</si>
  <si>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</si>
  <si>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</si>
  <si>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</si>
  <si>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</si>
  <si>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</si>
  <si>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</si>
  <si>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</si>
  <si>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</si>
  <si>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</si>
  <si>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</si>
  <si>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</si>
  <si>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</si>
  <si>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</si>
  <si>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</si>
  <si>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</si>
  <si>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</si>
  <si>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</si>
  <si>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</si>
  <si>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</si>
  <si>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</si>
  <si>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</si>
  <si>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</si>
  <si>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</si>
  <si>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</si>
  <si>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</si>
  <si>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</si>
  <si>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</si>
  <si>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</si>
  <si>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</si>
  <si>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</si>
  <si>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</si>
  <si>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</si>
  <si>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</si>
  <si>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</si>
  <si>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</si>
  <si>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</si>
  <si>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</si>
  <si>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</si>
  <si>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</si>
  <si>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</si>
  <si>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</si>
  <si>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</si>
  <si>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</si>
  <si>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</si>
  <si>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</si>
  <si>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</si>
  <si>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</si>
  <si>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</si>
  <si>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</si>
  <si>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</si>
  <si>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</si>
  <si>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</si>
  <si>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</si>
  <si>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</si>
  <si>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</si>
  <si>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</si>
  <si>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</si>
  <si>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</si>
  <si>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</si>
  <si>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</si>
  <si>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</si>
  <si>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</si>
  <si>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</si>
  <si>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</si>
  <si>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</si>
  <si>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</si>
  <si>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</si>
  <si>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</si>
  <si>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</si>
  <si>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</si>
  <si>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</si>
  <si>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</si>
  <si>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</si>
  <si>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</si>
  <si>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</si>
  <si>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</si>
  <si>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</si>
  <si>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</si>
  <si>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</si>
  <si>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</si>
  <si>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</si>
  <si>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</si>
  <si>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</si>
  <si>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</si>
  <si>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</si>
  <si>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</si>
  <si>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</si>
  <si>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</si>
  <si>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</si>
  <si>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</si>
  <si>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</si>
  <si>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</si>
  <si>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</si>
  <si>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</si>
  <si>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</si>
  <si>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</si>
  <si>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</si>
  <si>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</si>
  <si>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</si>
  <si>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</si>
  <si>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</si>
  <si>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</si>
  <si>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</si>
  <si>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</si>
  <si>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</si>
  <si>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</si>
  <si>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</si>
  <si>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</si>
  <si>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</si>
  <si>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</si>
  <si>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</si>
  <si>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</si>
  <si>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</si>
  <si>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</si>
  <si>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</si>
  <si>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</si>
  <si>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</si>
  <si>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</si>
  <si>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</si>
  <si>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</si>
  <si>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</si>
  <si>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</si>
  <si>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</si>
  <si>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</si>
  <si>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</si>
  <si>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</si>
  <si>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</si>
  <si>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</si>
  <si>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</si>
  <si>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</si>
  <si>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</si>
  <si>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</si>
  <si>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</si>
  <si>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</si>
  <si>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</si>
  <si>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</si>
  <si>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</si>
  <si>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</si>
  <si>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</si>
  <si>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</si>
  <si>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</si>
  <si>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</si>
  <si>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</si>
  <si>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</si>
  <si>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</si>
  <si>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</si>
  <si>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</si>
  <si>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</si>
  <si>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</si>
  <si>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</si>
  <si>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</si>
  <si>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</si>
  <si>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</si>
  <si>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</si>
  <si>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</si>
  <si>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</si>
  <si>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</si>
  <si>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</si>
  <si>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</si>
  <si>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</si>
  <si>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</si>
  <si>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</si>
  <si>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</si>
  <si>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</si>
  <si>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</si>
  <si>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</si>
  <si>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</si>
  <si>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</si>
  <si>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</si>
  <si>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</si>
  <si>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</si>
  <si>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</si>
  <si>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</si>
  <si>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</si>
  <si>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</si>
  <si>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</si>
  <si>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</si>
  <si>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</si>
  <si>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</si>
  <si>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</si>
  <si>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</si>
  <si>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</si>
  <si>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</si>
  <si>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</si>
  <si>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</si>
  <si>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</si>
  <si>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</si>
  <si>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</si>
  <si>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</si>
  <si>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</si>
  <si>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</si>
  <si>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</si>
  <si>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</si>
  <si>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</si>
  <si>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</si>
  <si>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</si>
  <si>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</si>
  <si>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</si>
  <si>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</si>
  <si>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</si>
  <si>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</si>
  <si>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</si>
  <si>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</si>
  <si>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</si>
  <si>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</si>
  <si>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</si>
  <si>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</si>
  <si>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</si>
  <si>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</si>
  <si>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</si>
  <si>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</si>
  <si>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</si>
  <si>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</si>
  <si>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</si>
  <si>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</si>
  <si>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</si>
  <si>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</si>
  <si>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</si>
  <si>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</si>
  <si>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</si>
  <si>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</si>
  <si>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</si>
  <si>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</si>
  <si>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</si>
  <si>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</si>
  <si>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</si>
  <si>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</si>
  <si>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</si>
  <si>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</si>
  <si>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</si>
  <si>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</si>
  <si>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</si>
  <si>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</si>
  <si>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</si>
  <si>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</si>
  <si>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</si>
  <si>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</si>
  <si>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</si>
  <si>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</si>
  <si>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</si>
  <si>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</si>
  <si>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</si>
  <si>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</si>
  <si>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</si>
  <si>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</si>
  <si>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</si>
  <si>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</si>
  <si>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</si>
  <si>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</si>
  <si>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</si>
  <si>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</si>
  <si>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</si>
  <si>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</si>
  <si>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</si>
  <si>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</si>
  <si>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</si>
  <si>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</si>
  <si>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</si>
  <si>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</si>
  <si>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</si>
  <si>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</si>
  <si>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</si>
  <si>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</si>
  <si>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</si>
  <si>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</si>
  <si>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</si>
  <si>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</si>
  <si>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</si>
  <si>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</si>
  <si>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</si>
  <si>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</si>
  <si>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</si>
  <si>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</si>
  <si>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</si>
  <si>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</si>
  <si>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</si>
  <si>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</si>
  <si>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</si>
  <si>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</si>
  <si>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</si>
  <si>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</si>
  <si>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</si>
  <si>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</si>
  <si>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</si>
  <si>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</si>
  <si>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</si>
  <si>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</si>
  <si>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</si>
  <si>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</si>
  <si>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</si>
  <si>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</si>
  <si>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</si>
  <si>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</si>
  <si>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</si>
  <si>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</si>
  <si>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</si>
  <si>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</si>
  <si>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</si>
  <si>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</si>
  <si>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</si>
  <si>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</si>
  <si>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</si>
  <si>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</si>
  <si>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</si>
  <si>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</si>
  <si>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</si>
  <si>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</si>
  <si>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</si>
  <si>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</si>
  <si>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</si>
  <si>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</si>
  <si>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</si>
  <si>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</si>
  <si>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</si>
  <si>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</si>
  <si>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</si>
  <si>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</si>
  <si>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</si>
  <si>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</si>
  <si>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</si>
  <si>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</si>
  <si>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</si>
  <si>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</si>
  <si>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</si>
  <si>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</si>
  <si>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</si>
  <si>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</si>
  <si>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</si>
  <si>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</si>
  <si>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</si>
  <si>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</si>
  <si>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</si>
  <si>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</si>
  <si>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</si>
  <si>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</si>
  <si>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</si>
  <si>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</si>
  <si>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</si>
  <si>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</si>
  <si>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</si>
  <si>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</si>
  <si>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</si>
  <si>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</si>
  <si>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</si>
  <si>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</si>
  <si>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</si>
  <si>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</si>
  <si>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</si>
  <si>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</si>
  <si>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</si>
  <si>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</si>
  <si>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</si>
  <si>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</si>
  <si>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</si>
  <si>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</si>
  <si>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</si>
  <si>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</si>
  <si>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</si>
  <si>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</si>
  <si>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</si>
  <si>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</si>
  <si>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</si>
  <si>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</si>
  <si>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</si>
  <si>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</si>
  <si>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</si>
  <si>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</si>
  <si>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</si>
  <si>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</si>
  <si>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</si>
  <si>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</si>
  <si>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</si>
  <si>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</si>
  <si>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</si>
  <si>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</si>
  <si>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</si>
  <si>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</si>
  <si>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</si>
  <si>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</si>
  <si>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</si>
  <si>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</si>
  <si>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</si>
  <si>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</si>
  <si>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</si>
  <si>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</si>
  <si>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</si>
  <si>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</si>
  <si>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</si>
  <si>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</si>
  <si>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</si>
  <si>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</si>
  <si>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</si>
  <si>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</si>
  <si>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</si>
  <si>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</si>
  <si>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</si>
  <si>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</si>
  <si>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</si>
  <si>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</si>
  <si>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</si>
  <si>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</si>
  <si>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</si>
  <si>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</si>
  <si>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</si>
  <si>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</si>
  <si>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</si>
  <si>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</si>
  <si>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</si>
  <si>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</si>
  <si>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</si>
  <si>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</si>
  <si>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</si>
  <si>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</si>
  <si>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</si>
  <si>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</si>
  <si>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</si>
  <si>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</si>
  <si>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</si>
  <si>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</si>
  <si>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</si>
  <si>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</si>
  <si>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</si>
  <si>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</si>
  <si>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</si>
  <si>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</si>
  <si>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</si>
  <si>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</si>
  <si>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</si>
  <si>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</si>
  <si>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</si>
  <si>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</si>
  <si>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</si>
  <si>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</si>
  <si>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</si>
  <si>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</si>
  <si>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</si>
  <si>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</si>
  <si>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</si>
  <si>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</si>
  <si>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</si>
  <si>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</si>
  <si>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</si>
  <si>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</si>
  <si>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</si>
  <si>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</si>
  <si>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</si>
  <si>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</si>
  <si>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</si>
  <si>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</si>
  <si>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</si>
  <si>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</si>
  <si>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</si>
  <si>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</si>
  <si>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</si>
  <si>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</si>
  <si>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</si>
  <si>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</si>
  <si>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</si>
  <si>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</si>
  <si>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</si>
  <si>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</si>
  <si>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</si>
  <si>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</si>
  <si>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</si>
  <si>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</si>
  <si>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</si>
  <si>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</si>
  <si>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</si>
  <si>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</si>
  <si>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</si>
  <si>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</si>
  <si>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</si>
  <si>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</si>
  <si>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</si>
  <si>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</si>
  <si>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</si>
  <si>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</si>
  <si>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</si>
  <si>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</si>
  <si>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</si>
  <si>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</si>
  <si>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</si>
  <si>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</si>
  <si>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</si>
  <si>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</si>
  <si>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</si>
  <si>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</si>
  <si>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</si>
  <si>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</si>
  <si>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</si>
  <si>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</si>
  <si>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</si>
  <si>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</si>
  <si>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</si>
  <si>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</si>
  <si>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</si>
  <si>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</si>
  <si>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</si>
  <si>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</si>
  <si>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</si>
  <si>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</si>
  <si>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</si>
  <si>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</si>
  <si>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</si>
  <si>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</si>
  <si>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</si>
  <si>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</si>
  <si>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</si>
  <si>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</si>
  <si>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</si>
  <si>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</si>
  <si>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</si>
  <si>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</si>
  <si>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</si>
  <si>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</si>
  <si>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</si>
  <si>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</si>
  <si>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</si>
  <si>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</si>
  <si>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</si>
  <si>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</si>
  <si>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</si>
  <si>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</si>
  <si>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</si>
  <si>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</si>
  <si>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</si>
  <si>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</si>
  <si>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</si>
  <si>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</si>
  <si>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</si>
  <si>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</si>
  <si>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</si>
  <si>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</si>
  <si>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</si>
  <si>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</si>
  <si>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</si>
  <si>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</si>
  <si>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</si>
  <si>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</si>
  <si>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</si>
  <si>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</si>
  <si>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</si>
  <si>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</si>
  <si>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</si>
  <si>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</si>
  <si>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</si>
  <si>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</si>
  <si>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</si>
  <si>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</si>
  <si>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</si>
  <si>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</si>
  <si>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</si>
  <si>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</si>
  <si>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</si>
  <si>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</si>
  <si>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</si>
  <si>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</si>
  <si>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</si>
  <si>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</si>
  <si>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</si>
  <si>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</si>
  <si>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</si>
  <si>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</si>
  <si>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</si>
  <si>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</si>
  <si>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</si>
  <si>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</si>
  <si>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</si>
  <si>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</si>
  <si>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</si>
  <si>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</si>
  <si>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</si>
  <si>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</si>
  <si>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</si>
  <si>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</si>
  <si>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</si>
  <si>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</si>
  <si>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</si>
  <si>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</si>
  <si>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</si>
  <si>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</si>
  <si>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</si>
  <si>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</si>
  <si>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</si>
  <si>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</si>
  <si>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</si>
  <si>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</si>
  <si>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</si>
  <si>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</si>
  <si>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</si>
  <si>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</si>
  <si>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</si>
  <si>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</si>
  <si>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</si>
  <si>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</si>
  <si>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</si>
  <si>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</si>
  <si>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</si>
  <si>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</si>
  <si>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</si>
  <si>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</si>
  <si>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</si>
  <si>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</si>
  <si>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</si>
  <si>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</si>
  <si>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</si>
  <si>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</si>
  <si>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</si>
  <si>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</si>
  <si>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</si>
  <si>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</si>
  <si>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</si>
  <si>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</si>
  <si>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</si>
  <si>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</si>
  <si>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</si>
  <si>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</si>
  <si>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</si>
  <si>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</si>
  <si>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</si>
  <si>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</si>
  <si>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</si>
  <si>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</si>
  <si>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</si>
  <si>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</si>
  <si>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</si>
  <si>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</si>
  <si>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</si>
  <si>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</si>
  <si>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</si>
  <si>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</si>
  <si>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</si>
  <si>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</si>
  <si>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</si>
  <si>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</si>
  <si>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</si>
  <si>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</si>
  <si>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</si>
  <si>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</si>
  <si>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</si>
  <si>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</si>
  <si>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</si>
  <si>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</si>
  <si>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</si>
  <si>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</si>
  <si>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</si>
  <si>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</si>
  <si>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</si>
  <si>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</si>
  <si>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</si>
  <si>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</si>
  <si>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</si>
  <si>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</si>
  <si>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</si>
  <si>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</si>
  <si>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</si>
  <si>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</si>
  <si>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</si>
  <si>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</si>
  <si>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</si>
  <si>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</si>
  <si>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</si>
  <si>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</si>
  <si>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</si>
  <si>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</si>
  <si>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</si>
  <si>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</si>
  <si>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</si>
  <si>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</si>
  <si>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</si>
  <si>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</si>
  <si>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</si>
  <si>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</si>
  <si>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</si>
  <si>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</si>
  <si>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</si>
  <si>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</si>
  <si>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</si>
  <si>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</si>
  <si>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</si>
  <si>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</si>
  <si>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</si>
  <si>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</si>
  <si>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</si>
  <si>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</si>
  <si>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</si>
  <si>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</si>
  <si>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</si>
  <si>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</si>
  <si>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</si>
  <si>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</si>
  <si>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</si>
  <si>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</si>
  <si>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</si>
  <si>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</si>
  <si>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</si>
  <si>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</si>
  <si>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</si>
  <si>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</si>
  <si>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</si>
  <si>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</si>
  <si>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</si>
  <si>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</si>
  <si>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</si>
  <si>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</si>
  <si>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</si>
  <si>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</si>
  <si>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</si>
  <si>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</si>
  <si>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</si>
  <si>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</si>
  <si>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</si>
  <si>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</si>
  <si>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</si>
  <si>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</si>
  <si>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</si>
  <si>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</si>
  <si>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</si>
  <si>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</si>
  <si>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</si>
  <si>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</si>
  <si>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</si>
  <si>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</si>
  <si>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</si>
  <si>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</si>
  <si>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</si>
  <si>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</si>
  <si>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</si>
  <si>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</si>
  <si>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</si>
  <si>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</si>
  <si>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</si>
  <si>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</si>
  <si>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</si>
  <si>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</si>
  <si>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</si>
  <si>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</si>
  <si>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</si>
  <si>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</si>
  <si>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</si>
  <si>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</si>
  <si>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</si>
  <si>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</si>
  <si>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</si>
  <si>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</si>
  <si>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</si>
  <si>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</si>
  <si>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</si>
  <si>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</si>
  <si>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</si>
  <si>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</si>
  <si>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</si>
  <si>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</si>
  <si>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</si>
  <si>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</si>
  <si>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</si>
  <si>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</si>
  <si>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</si>
  <si>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</si>
  <si>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</si>
  <si>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</si>
  <si>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</si>
  <si>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</si>
  <si>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</si>
  <si>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</si>
  <si>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</si>
  <si>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</si>
  <si>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</si>
  <si>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</si>
  <si>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</si>
  <si>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</si>
  <si>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</si>
  <si>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</si>
  <si>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</si>
  <si>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</si>
  <si>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</si>
  <si>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</si>
  <si>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</si>
  <si>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</si>
  <si>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</si>
  <si>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</si>
  <si>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</si>
  <si>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</si>
  <si>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</si>
  <si>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</si>
  <si>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</si>
  <si>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</si>
  <si>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</si>
  <si>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</si>
  <si>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</si>
  <si>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</si>
  <si>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</si>
  <si>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</si>
  <si>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</si>
  <si>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</si>
  <si>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</si>
  <si>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</si>
  <si>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</si>
  <si>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</si>
  <si>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</si>
  <si>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</si>
  <si>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</si>
  <si>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</si>
  <si>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</si>
  <si>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</si>
  <si>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</si>
  <si>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</si>
  <si>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</si>
  <si>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</si>
  <si>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</si>
  <si>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</si>
  <si>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</si>
  <si>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</si>
  <si>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</si>
  <si>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</si>
  <si>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</si>
  <si>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</si>
  <si>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</si>
  <si>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</si>
  <si>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</si>
  <si>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</si>
  <si>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</si>
  <si>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</si>
  <si>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</si>
  <si>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</si>
  <si>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</si>
  <si>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</si>
  <si>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</si>
  <si>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</si>
  <si>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</si>
  <si>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</si>
  <si>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</si>
  <si>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</si>
  <si>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</si>
  <si>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</si>
  <si>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</si>
  <si>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</si>
  <si>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</si>
  <si>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</si>
  <si>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</si>
  <si>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</si>
  <si>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</si>
  <si>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</si>
  <si>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</si>
  <si>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</si>
  <si>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</si>
  <si>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</si>
  <si>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</si>
  <si>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</si>
  <si>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</si>
  <si>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</si>
  <si>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</si>
  <si>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</si>
  <si>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</si>
  <si>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</si>
  <si>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</si>
  <si>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</si>
  <si>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</si>
  <si>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</si>
  <si>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</si>
  <si>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</si>
  <si>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</si>
  <si>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</si>
  <si>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</si>
  <si>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</si>
  <si>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</si>
  <si>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</si>
  <si>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</si>
  <si>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</si>
  <si>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</si>
  <si>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</si>
  <si>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</si>
  <si>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</si>
  <si>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</si>
  <si>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</si>
  <si>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</si>
  <si>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</si>
  <si>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</si>
  <si>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</si>
  <si>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</si>
  <si>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</si>
  <si>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</si>
  <si>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</si>
  <si>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</si>
  <si>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</si>
  <si>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</si>
  <si>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</si>
  <si>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</si>
  <si>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</si>
  <si>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</si>
  <si>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</si>
  <si>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</si>
  <si>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</si>
  <si>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</si>
  <si>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</si>
  <si>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</si>
  <si>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</si>
  <si>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</si>
  <si>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</si>
  <si>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</si>
  <si>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</si>
  <si>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</si>
  <si>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</si>
  <si>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</si>
  <si>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</si>
  <si>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</si>
  <si>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</si>
  <si>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</si>
  <si>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</si>
  <si>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</si>
  <si>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</si>
  <si>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</si>
  <si>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</si>
  <si>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</si>
  <si>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</si>
  <si>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</si>
  <si>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</si>
  <si>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</si>
  <si>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</si>
  <si>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</si>
  <si>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</si>
  <si>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</si>
  <si>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</si>
  <si>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</si>
  <si>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</si>
  <si>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</si>
  <si>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</si>
  <si>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</si>
  <si>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</si>
  <si>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</si>
  <si>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</si>
  <si>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</si>
  <si>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</si>
  <si>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</si>
  <si>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</si>
  <si>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</si>
  <si>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</si>
  <si>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</si>
  <si>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</si>
  <si>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</si>
  <si>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</si>
  <si>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</si>
  <si>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</si>
  <si>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</si>
  <si>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</si>
  <si>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</si>
  <si>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</si>
  <si>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</si>
  <si>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</si>
  <si>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</si>
  <si>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</si>
  <si>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</si>
  <si>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</si>
  <si>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</si>
  <si>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</si>
  <si>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</si>
  <si>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</si>
  <si>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</si>
  <si>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</si>
  <si>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</si>
  <si>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</si>
  <si>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</si>
  <si>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</si>
  <si>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</si>
  <si>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</si>
  <si>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</si>
  <si>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</si>
  <si>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</si>
  <si>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</si>
  <si>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</si>
  <si>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</si>
  <si>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</si>
  <si>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</si>
  <si>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</si>
  <si>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</si>
  <si>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</si>
  <si>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</si>
  <si>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</si>
  <si>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</si>
  <si>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</si>
  <si>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</si>
  <si>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</si>
  <si>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</si>
  <si>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</si>
  <si>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</si>
  <si>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</si>
  <si>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</si>
  <si>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</si>
  <si>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</si>
  <si>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</si>
  <si>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</si>
  <si>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</si>
  <si>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</si>
  <si>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</si>
  <si>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</si>
  <si>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</si>
  <si>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</si>
  <si>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</si>
  <si>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</si>
  <si>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</si>
  <si>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</si>
  <si>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</si>
  <si>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</si>
  <si>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</si>
  <si>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</si>
  <si>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</si>
  <si>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</si>
  <si>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</si>
  <si>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</si>
  <si>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</si>
  <si>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</si>
  <si>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</si>
  <si>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</si>
  <si>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</si>
  <si>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</si>
  <si>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</si>
  <si>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</si>
  <si>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</si>
  <si>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</si>
  <si>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</si>
  <si>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</si>
  <si>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</si>
  <si>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</si>
  <si>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</si>
  <si>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</si>
  <si>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</si>
  <si>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</si>
  <si>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</si>
  <si>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</si>
  <si>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</si>
  <si>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</si>
  <si>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</si>
  <si>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</si>
  <si>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</si>
  <si>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</si>
  <si>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</si>
  <si>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</si>
  <si>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</si>
  <si>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</si>
  <si>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</si>
  <si>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</si>
  <si>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</si>
  <si>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</si>
  <si>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</si>
  <si>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</si>
  <si>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</si>
  <si>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</si>
  <si>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</si>
  <si>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</si>
  <si>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</si>
  <si>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</si>
  <si>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</si>
  <si>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</si>
  <si>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</si>
  <si>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</si>
  <si>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</si>
  <si>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</si>
  <si>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</si>
  <si>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</si>
  <si>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</si>
  <si>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</si>
  <si>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</si>
  <si>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</si>
  <si>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</si>
  <si>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</si>
  <si>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</si>
  <si>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</si>
  <si>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</si>
  <si>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</si>
  <si>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</si>
  <si>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</si>
  <si>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</si>
  <si>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</si>
  <si>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</si>
  <si>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</si>
  <si>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</si>
  <si>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</si>
  <si>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</si>
  <si>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</si>
  <si>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</si>
  <si>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</si>
  <si>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</si>
  <si>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</si>
  <si>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</si>
  <si>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</si>
  <si>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</si>
  <si>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</si>
  <si>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</si>
  <si>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</si>
  <si>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</si>
  <si>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</si>
  <si>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</si>
  <si>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</si>
  <si>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</si>
  <si>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</si>
  <si>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</si>
  <si>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</si>
  <si>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</si>
  <si>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</si>
  <si>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</si>
  <si>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</si>
  <si>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</si>
  <si>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</si>
  <si>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</si>
  <si>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</si>
  <si>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</si>
  <si>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</si>
  <si>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</si>
  <si>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</si>
  <si>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</si>
  <si>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</si>
  <si>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</si>
  <si>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</si>
  <si>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</si>
  <si>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</si>
  <si>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</si>
  <si>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</si>
  <si>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</si>
  <si>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</si>
  <si>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</si>
  <si>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</si>
  <si>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</si>
  <si>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</si>
  <si>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</si>
  <si>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</si>
  <si>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</si>
  <si>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</si>
  <si>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</si>
  <si>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</si>
  <si>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</si>
  <si>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</si>
  <si>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</si>
  <si>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</si>
  <si>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</si>
  <si>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</si>
  <si>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</si>
  <si>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</si>
  <si>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</si>
  <si>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</si>
  <si>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</si>
  <si>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</si>
  <si>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</si>
  <si>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</si>
  <si>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</si>
  <si>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</si>
  <si>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</si>
  <si>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</si>
  <si>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</si>
  <si>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</si>
  <si>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</si>
  <si>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</si>
  <si>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</si>
  <si>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</si>
  <si>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</si>
  <si>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</si>
  <si>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</si>
  <si>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</si>
  <si>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</si>
  <si>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</si>
  <si>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</si>
  <si>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</si>
  <si>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</si>
  <si>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</si>
  <si>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</si>
  <si>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</si>
  <si>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</si>
  <si>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</si>
  <si>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</si>
  <si>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</si>
  <si>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</si>
  <si>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</si>
  <si>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</si>
  <si>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</si>
  <si>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</si>
  <si>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</si>
  <si>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</si>
  <si>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</si>
  <si>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</si>
  <si>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</si>
  <si>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</si>
  <si>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</si>
  <si>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</si>
  <si>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</si>
  <si>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</si>
  <si>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</si>
  <si>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</si>
  <si>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</si>
  <si>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</si>
  <si>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</si>
  <si>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</si>
  <si>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</si>
  <si>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</si>
  <si>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</si>
  <si>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</si>
  <si>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</si>
  <si>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</si>
  <si>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</si>
  <si>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</si>
  <si>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</si>
  <si>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</si>
  <si>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</si>
  <si>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</si>
  <si>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</si>
  <si>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</si>
  <si>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</si>
  <si>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</si>
  <si>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</si>
  <si>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</si>
  <si>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</si>
  <si>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</si>
  <si>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</si>
  <si>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</si>
  <si>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</si>
  <si>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</si>
  <si>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</si>
  <si>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</si>
  <si>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</si>
  <si>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</si>
  <si>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</si>
  <si>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</si>
  <si>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</si>
  <si>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</si>
  <si>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</si>
  <si>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</si>
  <si>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</si>
  <si>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</si>
  <si>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</si>
  <si>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</si>
  <si>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</si>
  <si>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</si>
  <si>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</si>
  <si>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</si>
  <si>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</si>
  <si>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</si>
  <si>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</si>
  <si>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</si>
  <si>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</si>
  <si>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</si>
  <si>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</si>
  <si>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</si>
  <si>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</si>
  <si>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</si>
  <si>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</si>
  <si>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</si>
  <si>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</si>
  <si>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</si>
  <si>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</si>
  <si>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</si>
  <si>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</si>
  <si>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</si>
  <si>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</si>
  <si>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</si>
  <si>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</si>
  <si>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</si>
  <si>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</si>
  <si>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</si>
  <si>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</si>
  <si>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</si>
  <si>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</si>
  <si>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</si>
  <si>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</si>
  <si>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</si>
  <si>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</si>
  <si>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</si>
  <si>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</si>
  <si>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</si>
  <si>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</si>
  <si>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</si>
  <si>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</si>
  <si>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</si>
  <si>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</si>
  <si>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</si>
  <si>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</si>
  <si>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</si>
  <si>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</si>
  <si>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</si>
  <si>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</si>
  <si>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</si>
  <si>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</si>
  <si>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</si>
  <si>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</si>
  <si>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</si>
  <si>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</si>
  <si>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</si>
  <si>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</si>
  <si>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</si>
  <si>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</si>
  <si>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</si>
  <si>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</si>
  <si>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</si>
  <si>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</si>
  <si>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</si>
  <si>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</si>
  <si>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</si>
  <si>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</si>
  <si>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</si>
  <si>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</si>
  <si>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</si>
  <si>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</si>
  <si>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</si>
  <si>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</si>
  <si>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</si>
  <si>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</si>
  <si>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</si>
  <si>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</si>
  <si>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</si>
  <si>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</si>
  <si>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</si>
  <si>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</si>
  <si>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</si>
  <si>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</si>
  <si>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</si>
  <si>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</si>
  <si>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</si>
  <si>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</si>
  <si>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</si>
  <si>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</si>
  <si>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</si>
  <si>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</si>
  <si>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</si>
  <si>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</si>
  <si>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</si>
  <si>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</si>
  <si>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</si>
  <si>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</si>
  <si>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</si>
  <si>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</si>
  <si>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</si>
  <si>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</si>
  <si>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</si>
  <si>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</si>
  <si>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</si>
  <si>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</si>
  <si>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</si>
  <si>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</si>
  <si>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</si>
  <si>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</si>
  <si>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</si>
  <si>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</si>
  <si>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</si>
  <si>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</si>
  <si>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</si>
  <si>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</si>
  <si>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</si>
  <si>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</si>
  <si>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</si>
  <si>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</si>
  <si>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</si>
  <si>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</si>
  <si>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</si>
  <si>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</si>
  <si>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</si>
  <si>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</si>
  <si>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</si>
  <si>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</si>
  <si>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</si>
  <si>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</si>
  <si>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</si>
  <si>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</si>
  <si>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</si>
  <si>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</si>
  <si>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</si>
  <si>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</si>
  <si>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</si>
  <si>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</si>
  <si>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</si>
  <si>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</si>
  <si>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</si>
  <si>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</si>
  <si>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</si>
  <si>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</si>
  <si>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</si>
  <si>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</si>
  <si>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</si>
  <si>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</si>
  <si>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</si>
  <si>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</si>
  <si>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</si>
  <si>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</si>
  <si>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</si>
  <si>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</si>
  <si>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</si>
  <si>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</si>
  <si>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</si>
  <si>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</si>
  <si>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</si>
  <si>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</si>
  <si>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</si>
  <si>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</si>
  <si>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</si>
  <si>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</si>
  <si>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</si>
  <si>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</si>
  <si>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</si>
  <si>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</si>
  <si>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</si>
  <si>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</si>
  <si>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</si>
  <si>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</si>
  <si>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</si>
  <si>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</si>
  <si>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</si>
  <si>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</si>
  <si>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</si>
  <si>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</si>
  <si>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</si>
  <si>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</si>
  <si>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</si>
  <si>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</si>
  <si>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</si>
  <si>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</si>
  <si>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</si>
  <si>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</si>
  <si>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</si>
  <si>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</si>
  <si>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</si>
  <si>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</si>
  <si>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</si>
  <si>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</si>
  <si>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</si>
  <si>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</si>
  <si>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</si>
  <si>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</si>
  <si>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</si>
  <si>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</si>
  <si>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</si>
  <si>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</si>
  <si>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</si>
  <si>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</si>
  <si>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</si>
  <si>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</si>
  <si>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</si>
  <si>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</si>
  <si>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</si>
  <si>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</si>
  <si>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</si>
  <si>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</si>
  <si>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</si>
  <si>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</si>
  <si>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</si>
  <si>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</si>
  <si>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</si>
  <si>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</si>
  <si>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</si>
  <si>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</si>
  <si>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</si>
  <si>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</si>
  <si>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</si>
  <si>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</si>
  <si>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</si>
  <si>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</si>
  <si>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</si>
  <si>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</si>
  <si>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</si>
  <si>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</si>
  <si>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</si>
  <si>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</si>
  <si>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</si>
  <si>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</si>
  <si>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</si>
  <si>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</si>
  <si>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</si>
  <si>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</si>
  <si>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</si>
  <si>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</si>
  <si>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</si>
  <si>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</si>
  <si>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</si>
  <si>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</si>
  <si>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</si>
  <si>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</si>
  <si>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</si>
  <si>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</si>
  <si>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</si>
  <si>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</si>
  <si>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</si>
  <si>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</si>
  <si>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</si>
  <si>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</si>
  <si>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</si>
  <si>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</si>
  <si>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</si>
  <si>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</si>
  <si>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</si>
  <si>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</si>
  <si>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</si>
  <si>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</si>
  <si>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</si>
  <si>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</si>
  <si>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</si>
  <si>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</si>
  <si>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</si>
  <si>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</si>
  <si>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</si>
  <si>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</si>
  <si>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</si>
  <si>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</si>
  <si>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</si>
  <si>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</si>
  <si>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</si>
  <si>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</si>
  <si>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</si>
  <si>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</si>
  <si>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</si>
  <si>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</si>
  <si>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</si>
  <si>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</si>
  <si>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</si>
  <si>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</si>
  <si>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</si>
  <si>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</si>
  <si>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</si>
  <si>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</si>
  <si>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</si>
  <si>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</si>
  <si>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</si>
  <si>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</si>
  <si>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</si>
  <si>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</si>
  <si>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</si>
  <si>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</si>
  <si>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</si>
  <si>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</si>
  <si>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</si>
  <si>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</si>
  <si>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</si>
  <si>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</si>
  <si>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</si>
  <si>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</si>
  <si>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</si>
  <si>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</si>
  <si>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</si>
  <si>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</si>
  <si>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</si>
  <si>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</si>
  <si>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</si>
  <si>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</si>
  <si>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</si>
  <si>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</si>
  <si>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</si>
  <si>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</si>
  <si>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</si>
  <si>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</si>
  <si>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</si>
  <si>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</si>
  <si>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</si>
  <si>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</si>
  <si>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</si>
  <si>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</si>
  <si>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</si>
  <si>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</si>
  <si>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</si>
  <si>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</si>
  <si>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</si>
  <si>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</si>
  <si>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</si>
  <si>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</si>
  <si>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</si>
  <si>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</si>
  <si>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</si>
  <si>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</si>
  <si>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</si>
  <si>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</si>
  <si>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</si>
  <si>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</si>
  <si>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</si>
  <si>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</si>
  <si>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</si>
  <si>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</si>
  <si>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</si>
  <si>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</si>
  <si>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</si>
  <si>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</si>
  <si>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</si>
  <si>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</si>
  <si>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</si>
  <si>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</si>
  <si>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</si>
  <si>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</si>
  <si>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</si>
  <si>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</si>
  <si>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</si>
  <si>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</si>
  <si>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</si>
  <si>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</si>
  <si>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</si>
  <si>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</si>
  <si>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</si>
  <si>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</si>
  <si>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</si>
  <si>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</si>
  <si>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</si>
  <si>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</si>
  <si>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</si>
  <si>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</si>
  <si>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</si>
  <si>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</si>
  <si>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</si>
  <si>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</si>
  <si>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</si>
  <si>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</si>
  <si>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</si>
  <si>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</si>
  <si>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</si>
  <si>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</si>
  <si>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</si>
  <si>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</si>
  <si>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</si>
  <si>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</si>
  <si>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</si>
  <si>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</si>
  <si>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</si>
  <si>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</si>
  <si>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</si>
  <si>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</si>
  <si>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</si>
  <si>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</si>
  <si>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</si>
  <si>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</si>
  <si>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</si>
  <si>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</si>
  <si>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</si>
  <si>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</si>
  <si>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</si>
  <si>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</si>
  <si>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</si>
  <si>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</si>
  <si>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</si>
  <si>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</si>
  <si>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</si>
  <si>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</si>
  <si>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</si>
  <si>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</si>
  <si>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</si>
  <si>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</si>
  <si>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</si>
  <si>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</si>
  <si>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</si>
  <si>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</si>
  <si>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</si>
  <si>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</si>
  <si>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</si>
  <si>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</si>
  <si>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</si>
  <si>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</si>
  <si>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</si>
  <si>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</si>
  <si>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</si>
  <si>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</si>
  <si>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</si>
  <si>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</si>
  <si>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</si>
  <si>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</si>
  <si>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</si>
  <si>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</si>
  <si>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</si>
  <si>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</si>
  <si>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</si>
  <si>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</si>
  <si>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</si>
  <si>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</si>
  <si>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</si>
  <si>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</si>
  <si>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</si>
  <si>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</si>
  <si>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</si>
  <si>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</si>
  <si>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</si>
  <si>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</si>
  <si>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</si>
  <si>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</si>
  <si>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</si>
  <si>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</si>
  <si>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</si>
  <si>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</si>
  <si>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</si>
  <si>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</si>
  <si>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</si>
  <si>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</si>
  <si>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</si>
  <si>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</si>
  <si>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</si>
  <si>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</si>
  <si>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</si>
  <si>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</si>
  <si>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</si>
  <si>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</si>
  <si>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</si>
  <si>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</si>
  <si>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</si>
  <si>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</si>
  <si>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</si>
  <si>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</si>
  <si>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</si>
  <si>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</si>
  <si>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</si>
  <si>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</si>
  <si>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</si>
  <si>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</si>
  <si>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</si>
  <si>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</si>
  <si>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</si>
  <si>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</si>
  <si>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</si>
  <si>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</si>
  <si>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</si>
  <si>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</si>
  <si>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</si>
  <si>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</si>
  <si>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</si>
  <si>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</si>
  <si>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</si>
  <si>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</si>
  <si>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</si>
  <si>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</si>
  <si>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</si>
  <si>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</si>
  <si>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</si>
  <si>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</si>
  <si>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</si>
  <si>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</si>
  <si>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</si>
  <si>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</si>
  <si>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</si>
  <si>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</si>
  <si>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</si>
  <si>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</si>
  <si>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</si>
  <si>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</si>
  <si>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</si>
  <si>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</si>
  <si>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</si>
  <si>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</si>
  <si>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</si>
  <si>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</si>
  <si>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</si>
  <si>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</si>
  <si>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</si>
  <si>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</si>
  <si>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</si>
  <si>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</si>
  <si>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</si>
  <si>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</si>
  <si>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</si>
  <si>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</si>
  <si>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</si>
  <si>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</si>
  <si>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</si>
  <si>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</si>
  <si>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</si>
  <si>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</si>
  <si>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</si>
  <si>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</si>
  <si>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</si>
  <si>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</si>
  <si>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</si>
  <si>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</si>
  <si>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</si>
  <si>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</si>
  <si>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</si>
  <si>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</si>
  <si>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</si>
  <si>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</si>
  <si>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</si>
  <si>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</si>
  <si>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</si>
  <si>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</si>
  <si>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</si>
  <si>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</si>
  <si>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</si>
  <si>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</si>
  <si>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</si>
  <si>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</si>
  <si>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</si>
  <si>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</si>
  <si>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</si>
  <si>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</si>
  <si>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</si>
  <si>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</si>
  <si>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</si>
  <si>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</si>
  <si>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</si>
  <si>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</si>
  <si>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</si>
  <si>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</si>
  <si>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</si>
  <si>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</si>
  <si>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</si>
  <si>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</si>
  <si>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</si>
  <si>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</si>
  <si>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</si>
  <si>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</si>
  <si>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</si>
  <si>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</si>
  <si>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</si>
  <si>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</si>
  <si>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</si>
  <si>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</si>
  <si>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</si>
  <si>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</si>
  <si>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</si>
  <si>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</si>
  <si>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</si>
  <si>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</si>
  <si>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</si>
  <si>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</si>
  <si>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</si>
  <si>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</si>
  <si>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</si>
  <si>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</si>
  <si>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</si>
  <si>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</si>
  <si>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</si>
  <si>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</si>
  <si>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</si>
  <si>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</si>
  <si>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</si>
  <si>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</si>
  <si>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</si>
  <si>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</si>
  <si>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</si>
  <si>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</si>
  <si>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</si>
  <si>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</si>
  <si>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</si>
  <si>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</si>
  <si>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</si>
  <si>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</si>
  <si>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</si>
  <si>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</si>
  <si>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</si>
  <si>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</si>
  <si>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</si>
  <si>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</si>
  <si>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</si>
  <si>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</si>
  <si>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</si>
  <si>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</si>
  <si>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</si>
  <si>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</si>
  <si>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</si>
  <si>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</si>
  <si>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</si>
  <si>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</si>
  <si>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</si>
  <si>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</si>
  <si>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</si>
  <si>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</si>
  <si>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</si>
  <si>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</si>
  <si>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</si>
  <si>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</si>
  <si>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</si>
  <si>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</si>
  <si>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</si>
  <si>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</si>
  <si>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</si>
  <si>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</si>
  <si>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</si>
  <si>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</si>
  <si>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</si>
  <si>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</si>
  <si>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</si>
  <si>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</si>
  <si>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</si>
  <si>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</si>
  <si>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</si>
  <si>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</si>
  <si>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</si>
  <si>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</si>
  <si>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</si>
  <si>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</si>
  <si>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</si>
  <si>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</si>
  <si>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</si>
  <si>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</si>
  <si>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</si>
  <si>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</si>
  <si>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</si>
  <si>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</si>
  <si>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</si>
  <si>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</si>
  <si>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</si>
  <si>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</si>
  <si>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</si>
  <si>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</si>
  <si>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</si>
  <si>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</si>
  <si>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</si>
  <si>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</si>
  <si>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</si>
  <si>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</si>
  <si>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</si>
  <si>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</si>
  <si>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</si>
  <si>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</si>
  <si>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</si>
  <si>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</si>
  <si>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</si>
  <si>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</si>
  <si>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</si>
  <si>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</si>
  <si>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</si>
  <si>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</si>
  <si>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</si>
  <si>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</si>
  <si>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</si>
  <si>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</si>
  <si>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</si>
  <si>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</si>
  <si>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</si>
  <si>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</si>
  <si>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</si>
  <si>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</si>
  <si>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</si>
  <si>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</si>
  <si>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</si>
  <si>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</si>
  <si>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</si>
  <si>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</si>
  <si>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</si>
  <si>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</si>
  <si>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</si>
  <si>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</si>
  <si>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</si>
  <si>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</si>
  <si>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</si>
  <si>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</si>
  <si>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</si>
  <si>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</si>
  <si>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</si>
  <si>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</si>
  <si>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</si>
  <si>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</si>
  <si>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</si>
  <si>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</si>
  <si>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</si>
  <si>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</si>
  <si>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</si>
  <si>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</si>
  <si>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</si>
  <si>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</si>
  <si>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</si>
  <si>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</si>
  <si>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</si>
  <si>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</si>
  <si>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</si>
  <si>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</si>
  <si>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</si>
  <si>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</si>
  <si>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</si>
  <si>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</si>
  <si>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</si>
  <si>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</si>
  <si>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</si>
  <si>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</si>
  <si>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</si>
  <si>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</si>
  <si>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</si>
  <si>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</si>
  <si>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</si>
  <si>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</si>
  <si>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</si>
  <si>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</si>
  <si>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</si>
  <si>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</si>
  <si>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</si>
  <si>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</si>
  <si>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</si>
  <si>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</si>
  <si>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</si>
  <si>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</si>
  <si>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</si>
  <si>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</si>
  <si>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</si>
  <si>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</si>
  <si>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</si>
  <si>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</si>
  <si>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</si>
  <si>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</si>
  <si>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</si>
  <si>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</si>
  <si>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</si>
  <si>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</si>
  <si>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</si>
  <si>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</si>
  <si>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</si>
  <si>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</si>
  <si>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</si>
  <si>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</si>
  <si>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</si>
  <si>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</si>
  <si>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</si>
  <si>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</si>
  <si>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</si>
  <si>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</si>
  <si>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</si>
  <si>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</si>
  <si>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</si>
  <si>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</si>
  <si>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</si>
  <si>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</si>
  <si>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</si>
  <si>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</si>
  <si>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</si>
  <si>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</si>
  <si>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</si>
  <si>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</si>
  <si>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</si>
  <si>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</si>
  <si>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</si>
  <si>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</si>
  <si>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</si>
  <si>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</si>
  <si>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</si>
  <si>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</si>
  <si>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</si>
  <si>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</si>
  <si>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</si>
  <si>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</si>
  <si>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</si>
  <si>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</si>
  <si>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</si>
  <si>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</si>
  <si>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</si>
  <si>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</si>
  <si>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</si>
  <si>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</si>
  <si>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</si>
  <si>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</si>
  <si>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</si>
  <si>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</si>
  <si>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</si>
  <si>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</si>
  <si>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</si>
  <si>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</si>
  <si>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</si>
  <si>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</si>
  <si>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</si>
  <si>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</si>
  <si>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</si>
  <si>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</si>
  <si>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</si>
  <si>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</si>
  <si>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</si>
  <si>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</si>
  <si>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</si>
  <si>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</si>
  <si>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</si>
  <si>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</si>
  <si>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</si>
  <si>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</si>
  <si>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</si>
  <si>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</si>
  <si>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</si>
  <si>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</si>
  <si>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</si>
  <si>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</si>
  <si>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</si>
  <si>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</si>
  <si>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</si>
  <si>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</si>
  <si>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</si>
  <si>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</si>
  <si>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</si>
  <si>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</si>
  <si>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</si>
  <si>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</si>
  <si>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</si>
  <si>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</si>
  <si>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</si>
  <si>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</si>
  <si>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</si>
  <si>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</si>
  <si>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</si>
  <si>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</si>
  <si>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</si>
  <si>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</si>
  <si>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</si>
  <si>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</si>
  <si>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</si>
  <si>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</si>
  <si>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</si>
  <si>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</si>
  <si>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</si>
  <si>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</si>
  <si>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</si>
  <si>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</si>
  <si>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</si>
  <si>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</si>
  <si>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</si>
  <si>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</si>
  <si>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</si>
  <si>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</si>
  <si>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</si>
  <si>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</si>
  <si>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</si>
  <si>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</si>
  <si>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</si>
  <si>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</si>
  <si>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</si>
  <si>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</si>
  <si>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</si>
  <si>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</si>
  <si>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</si>
  <si>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</si>
  <si>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</si>
  <si>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</si>
  <si>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</si>
  <si>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</si>
  <si>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</si>
  <si>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</si>
  <si>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</si>
  <si>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</si>
  <si>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</si>
  <si>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</si>
  <si>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</si>
  <si>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</si>
  <si>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</si>
  <si>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</si>
  <si>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</si>
  <si>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</si>
  <si>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</si>
  <si>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</si>
  <si>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</si>
  <si>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</si>
  <si>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</si>
  <si>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</si>
  <si>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</si>
  <si>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</si>
  <si>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</si>
  <si>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</si>
  <si>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</si>
  <si>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</si>
  <si>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</si>
  <si>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</si>
  <si>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</si>
  <si>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</si>
  <si>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</si>
  <si>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</si>
  <si>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</si>
  <si>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</si>
  <si>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</si>
  <si>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</si>
  <si>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</si>
  <si>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</si>
  <si>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</si>
  <si>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</si>
  <si>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</si>
  <si>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</si>
  <si>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</si>
  <si>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</si>
  <si>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</si>
  <si>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</si>
  <si>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</si>
  <si>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</si>
  <si>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</si>
  <si>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</si>
  <si>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</si>
  <si>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</si>
  <si>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</si>
  <si>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</si>
  <si>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</si>
  <si>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</si>
  <si>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</si>
  <si>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</si>
  <si>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</si>
  <si>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</si>
  <si>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</si>
  <si>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</si>
  <si>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</si>
  <si>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</si>
  <si>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</si>
  <si>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</si>
  <si>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</si>
  <si>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</si>
  <si>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</si>
  <si>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</si>
  <si>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</si>
  <si>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</si>
  <si>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</si>
  <si>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</si>
  <si>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</si>
  <si>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</si>
  <si>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</si>
  <si>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</si>
  <si>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</si>
  <si>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</si>
  <si>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</si>
  <si>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</si>
  <si>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</si>
  <si>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</si>
  <si>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</si>
  <si>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</si>
  <si>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</si>
  <si>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</si>
  <si>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</si>
  <si>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</si>
  <si>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</si>
  <si>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</si>
  <si>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</si>
  <si>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</si>
  <si>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</si>
  <si>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</si>
  <si>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</si>
  <si>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</si>
  <si>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</si>
  <si>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</si>
  <si>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</si>
  <si>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</si>
  <si>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</si>
  <si>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</si>
  <si>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</si>
  <si>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</si>
  <si>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</si>
  <si>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</si>
  <si>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</si>
  <si>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</si>
  <si>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</si>
  <si>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</si>
  <si>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</si>
  <si>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</si>
  <si>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</si>
  <si>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</si>
  <si>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</si>
  <si>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</si>
  <si>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</si>
  <si>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</si>
  <si>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</si>
  <si>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</si>
  <si>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</si>
  <si>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</si>
  <si>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</si>
  <si>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</si>
  <si>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</si>
  <si>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</si>
  <si>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</si>
  <si>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</si>
  <si>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</si>
  <si>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</si>
  <si>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</si>
  <si>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</si>
  <si>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</si>
  <si>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</si>
  <si>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</si>
  <si>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</si>
  <si>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</si>
  <si>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</si>
  <si>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</si>
  <si>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</si>
  <si>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</si>
  <si>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</si>
  <si>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</si>
  <si>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</si>
  <si>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</si>
  <si>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</si>
  <si>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</si>
  <si>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</si>
  <si>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</si>
  <si>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</si>
  <si>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</si>
  <si>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</si>
  <si>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</si>
  <si>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</si>
  <si>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</si>
  <si>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</si>
  <si>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</si>
  <si>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</si>
  <si>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</si>
  <si>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</si>
  <si>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</si>
  <si>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</si>
  <si>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</si>
  <si>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</si>
  <si>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</si>
  <si>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</si>
  <si>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</si>
  <si>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</si>
  <si>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</si>
  <si>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</si>
  <si>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</si>
  <si>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</si>
  <si>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</si>
  <si>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</si>
  <si>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</si>
  <si>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</si>
  <si>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</si>
  <si>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</si>
  <si>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</si>
  <si>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</si>
  <si>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</si>
  <si>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</si>
  <si>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</si>
  <si>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</si>
  <si>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</si>
  <si>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</si>
  <si>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</si>
  <si>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</si>
  <si>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</si>
  <si>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</si>
  <si>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</si>
  <si>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</si>
  <si>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</si>
  <si>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</si>
  <si>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</si>
  <si>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</si>
  <si>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</si>
  <si>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</si>
  <si>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</si>
  <si>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</si>
  <si>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</si>
  <si>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</si>
  <si>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</si>
  <si>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</si>
  <si>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</si>
  <si>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</si>
  <si>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</si>
  <si>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</si>
  <si>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</si>
  <si>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</si>
  <si>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</si>
  <si>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</si>
  <si>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</si>
  <si>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</si>
  <si>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</si>
  <si>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</si>
  <si>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</si>
  <si>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</si>
  <si>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</si>
  <si>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</si>
  <si>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</si>
  <si>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</si>
  <si>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</si>
  <si>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</si>
  <si>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</si>
  <si>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</si>
  <si>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</si>
  <si>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</si>
  <si>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</si>
  <si>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</si>
  <si>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</si>
  <si>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</si>
  <si>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</si>
  <si>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</si>
  <si>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</si>
  <si>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</si>
  <si>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</si>
  <si>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</si>
  <si>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</si>
  <si>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</si>
  <si>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</si>
  <si>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</si>
  <si>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</si>
  <si>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</si>
  <si>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</si>
  <si>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</si>
  <si>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</si>
  <si>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</si>
  <si>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</si>
  <si>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</si>
  <si>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</si>
  <si>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</si>
  <si>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</si>
  <si>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</si>
  <si>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</si>
  <si>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</si>
  <si>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</si>
  <si>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</si>
  <si>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</si>
  <si>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</si>
  <si>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</si>
  <si>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</si>
  <si>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</si>
  <si>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</si>
  <si>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</si>
  <si>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</si>
  <si>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</si>
  <si>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</si>
  <si>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</si>
  <si>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</si>
  <si>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</si>
  <si>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</si>
  <si>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</si>
  <si>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</si>
  <si>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</si>
  <si>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</si>
  <si>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</si>
  <si>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</si>
  <si>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</si>
  <si>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</si>
  <si>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</si>
  <si>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</si>
  <si>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</si>
  <si>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</si>
  <si>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</si>
  <si>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</si>
  <si>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</si>
  <si>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</si>
  <si>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</si>
  <si>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</si>
  <si>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</si>
  <si>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</si>
  <si>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</si>
  <si>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</si>
  <si>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</si>
  <si>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</si>
  <si>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</si>
  <si>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</si>
  <si>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</si>
  <si>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</si>
  <si>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</si>
  <si>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</si>
  <si>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</si>
  <si>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</si>
  <si>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</si>
  <si>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</si>
  <si>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</si>
  <si>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</si>
  <si>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</si>
  <si>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</si>
  <si>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</si>
  <si>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</si>
  <si>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</si>
  <si>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</si>
  <si>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</si>
  <si>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</si>
  <si>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</si>
  <si>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</si>
  <si>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</si>
  <si>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</si>
  <si>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</si>
  <si>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</si>
  <si>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</si>
  <si>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</si>
  <si>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</si>
  <si>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</si>
  <si>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</si>
  <si>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</si>
  <si>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</si>
  <si>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</si>
  <si>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</si>
  <si>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</si>
  <si>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</si>
  <si>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</si>
  <si>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</si>
  <si>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</si>
  <si>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</si>
  <si>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</si>
  <si>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</si>
  <si>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</si>
  <si>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</si>
  <si>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</si>
  <si>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</si>
  <si>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</si>
  <si>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</si>
  <si>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</si>
  <si>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</si>
  <si>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</si>
  <si>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</si>
  <si>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</si>
  <si>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</si>
  <si>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</si>
  <si>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</si>
  <si>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</si>
  <si>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</si>
  <si>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</si>
  <si>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</si>
  <si>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</si>
  <si>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</si>
  <si>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</si>
  <si>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</si>
  <si>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</si>
  <si>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</si>
  <si>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</si>
  <si>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</si>
  <si>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</si>
  <si>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</si>
  <si>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</si>
  <si>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</si>
  <si>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</si>
  <si>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</si>
  <si>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</si>
  <si>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</si>
  <si>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</si>
  <si>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</si>
  <si>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</si>
  <si>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</si>
  <si>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</si>
  <si>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</si>
  <si>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</si>
  <si>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</si>
  <si>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</si>
  <si>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</si>
  <si>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</si>
  <si>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</si>
  <si>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</si>
  <si>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</si>
  <si>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</si>
  <si>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</si>
  <si>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</si>
  <si>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</si>
  <si>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</si>
  <si>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</si>
  <si>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</si>
  <si>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</si>
  <si>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</si>
  <si>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</si>
  <si>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</si>
  <si>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</si>
  <si>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</si>
  <si>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</si>
  <si>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</si>
  <si>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</si>
  <si>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</si>
  <si>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</si>
  <si>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</si>
  <si>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</si>
  <si>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</si>
  <si>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</si>
  <si>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</si>
  <si>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</si>
  <si>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</si>
  <si>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</si>
  <si>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</si>
  <si>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</si>
  <si>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</si>
  <si>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</si>
  <si>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</si>
  <si>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</si>
  <si>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</si>
  <si>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</si>
  <si>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</si>
  <si>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</si>
  <si>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</si>
  <si>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</si>
  <si>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</si>
  <si>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</si>
  <si>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</si>
  <si>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</si>
  <si>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</si>
  <si>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</si>
  <si>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</si>
  <si>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</si>
  <si>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</si>
  <si>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</si>
  <si>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</si>
  <si>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</si>
  <si>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</si>
  <si>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</si>
  <si>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</si>
  <si>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</si>
  <si>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</si>
  <si>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</si>
  <si>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</si>
  <si>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</si>
  <si>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</si>
  <si>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</si>
  <si>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</si>
  <si>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</si>
  <si>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</si>
  <si>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</si>
  <si>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</si>
  <si>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</si>
  <si>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</si>
  <si>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</si>
  <si>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</si>
  <si>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</si>
  <si>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</si>
  <si>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</si>
  <si>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</si>
  <si>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</si>
  <si>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</si>
  <si>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</si>
  <si>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</si>
  <si>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</si>
  <si>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</si>
  <si>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</si>
  <si>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</si>
  <si>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</si>
  <si>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</si>
  <si>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</si>
  <si>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</si>
  <si>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</si>
  <si>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</si>
  <si>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</si>
  <si>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</si>
  <si>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</si>
  <si>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</si>
  <si>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</si>
  <si>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</si>
  <si>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</si>
  <si>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</si>
  <si>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</si>
  <si>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</si>
  <si>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</si>
  <si>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</si>
  <si>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</si>
  <si>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</si>
  <si>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</si>
  <si>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</si>
  <si>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</si>
  <si>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</si>
  <si>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</si>
  <si>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</si>
  <si>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</si>
  <si>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</si>
  <si>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</si>
  <si>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</si>
  <si>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</si>
  <si>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</si>
  <si>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</si>
  <si>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</si>
  <si>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</si>
  <si>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</si>
  <si>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</si>
  <si>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</si>
  <si>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</si>
  <si>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</si>
  <si>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</si>
  <si>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</si>
  <si>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</si>
  <si>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</si>
  <si>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</si>
  <si>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</si>
  <si>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</si>
  <si>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</si>
  <si>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</si>
  <si>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</si>
  <si>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</si>
  <si>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</si>
  <si>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</si>
  <si>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</si>
  <si>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</si>
  <si>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</si>
  <si>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</si>
  <si>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</si>
  <si>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</si>
  <si>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</si>
  <si>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</si>
  <si>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</si>
  <si>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</si>
  <si>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</si>
  <si>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</si>
  <si>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</si>
  <si>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</si>
  <si>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</si>
  <si>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</si>
  <si>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</si>
  <si>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</si>
  <si>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</si>
  <si>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</si>
  <si>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</si>
  <si>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</si>
  <si>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</si>
  <si>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</si>
  <si>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</si>
  <si>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</si>
  <si>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</si>
  <si>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</si>
  <si>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</si>
  <si>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</si>
  <si>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</si>
  <si>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</si>
  <si>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</si>
  <si>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</si>
  <si>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</si>
  <si>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</si>
  <si>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</si>
  <si>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</si>
  <si>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</si>
  <si>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</si>
  <si>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</si>
  <si>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</si>
  <si>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</si>
  <si>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</si>
  <si>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</si>
  <si>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</si>
  <si>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</si>
  <si>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</si>
  <si>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</si>
  <si>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</si>
  <si>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</si>
  <si>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</si>
  <si>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</si>
  <si>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</si>
  <si>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</si>
  <si>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</si>
  <si>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</si>
  <si>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</si>
  <si>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</si>
  <si>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</si>
  <si>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</si>
  <si>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</si>
  <si>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</si>
  <si>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</si>
  <si>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</si>
  <si>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</si>
  <si>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</si>
  <si>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</si>
  <si>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</si>
  <si>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</si>
  <si>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</si>
  <si>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</si>
  <si>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</si>
  <si>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</si>
  <si>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</si>
  <si>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</si>
  <si>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</si>
  <si>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</si>
  <si>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</si>
  <si>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</si>
  <si>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</si>
  <si>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</si>
  <si>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</si>
  <si>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</si>
  <si>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</si>
  <si>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</si>
  <si>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</si>
  <si>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</si>
  <si>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</si>
  <si>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</si>
  <si>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</si>
  <si>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</si>
  <si>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</si>
  <si>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</si>
  <si>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</si>
  <si>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</si>
  <si>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</si>
  <si>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</si>
  <si>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</si>
  <si>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</si>
  <si>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</si>
  <si>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</si>
  <si>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</si>
  <si>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</si>
  <si>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</si>
  <si>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</si>
  <si>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</si>
  <si>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</si>
  <si>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</si>
  <si>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</si>
  <si>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</si>
  <si>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</si>
  <si>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</si>
  <si>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</si>
  <si>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</si>
  <si>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</si>
  <si>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</si>
  <si>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</si>
  <si>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</si>
  <si>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</si>
  <si>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</si>
  <si>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</si>
  <si>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</si>
  <si>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</si>
  <si>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</si>
  <si>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</si>
  <si>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</si>
  <si>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</si>
  <si>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</si>
  <si>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</si>
  <si>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</si>
  <si>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</si>
  <si>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</si>
  <si>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</si>
  <si>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</si>
  <si>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</si>
  <si>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</si>
  <si>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</si>
  <si>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</si>
  <si>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</si>
  <si>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</si>
  <si>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</si>
  <si>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</si>
  <si>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</si>
  <si>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</si>
  <si>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</si>
  <si>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</si>
  <si>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</si>
  <si>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</si>
  <si>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</si>
  <si>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</si>
  <si>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</si>
  <si>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</si>
  <si>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</si>
  <si>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</si>
  <si>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</si>
  <si>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</si>
  <si>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</si>
  <si>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</si>
  <si>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</si>
  <si>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</si>
  <si>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</si>
  <si>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</si>
  <si>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</si>
  <si>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</si>
  <si>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</si>
  <si>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</si>
  <si>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</si>
  <si>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</si>
  <si>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</si>
  <si>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</si>
  <si>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</si>
  <si>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</si>
  <si>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</si>
  <si>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</si>
  <si>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</si>
  <si>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</si>
  <si>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</si>
  <si>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</si>
  <si>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</si>
  <si>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</si>
  <si>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</si>
  <si>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</si>
  <si>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</si>
  <si>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</si>
  <si>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</si>
  <si>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</si>
  <si>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</si>
  <si>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</si>
  <si>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</si>
  <si>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</si>
  <si>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</si>
  <si>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</si>
  <si>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</si>
  <si>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</si>
  <si>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</si>
  <si>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</si>
  <si>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</si>
  <si>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</si>
  <si>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</si>
  <si>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</si>
  <si>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</si>
  <si>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</si>
  <si>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</si>
  <si>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</si>
  <si>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</si>
  <si>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</si>
  <si>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</si>
  <si>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</si>
  <si>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</si>
  <si>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</si>
  <si>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</si>
  <si>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</si>
  <si>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</si>
  <si>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</si>
  <si>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</si>
  <si>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</si>
  <si>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</si>
  <si>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</si>
  <si>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</si>
  <si>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</si>
  <si>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</si>
  <si>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</si>
  <si>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</si>
  <si>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</si>
  <si>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</si>
  <si>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</si>
  <si>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</si>
  <si>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</si>
  <si>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</si>
  <si>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</si>
  <si>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</si>
  <si>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</si>
  <si>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</si>
  <si>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</si>
  <si>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</si>
  <si>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</si>
  <si>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</si>
  <si>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</si>
  <si>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</si>
  <si>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</si>
  <si>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</si>
  <si>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</si>
  <si>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</si>
  <si>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</si>
  <si>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</si>
  <si>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</si>
  <si>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</si>
  <si>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</si>
  <si>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</si>
  <si>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</si>
  <si>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</si>
  <si>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</si>
  <si>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</si>
  <si>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</si>
  <si>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</si>
  <si>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</si>
  <si>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</si>
  <si>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</si>
  <si>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</si>
  <si>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</si>
  <si>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</si>
  <si>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</si>
  <si>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</si>
  <si>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</si>
  <si>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</si>
  <si>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</si>
  <si>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</si>
  <si>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</si>
  <si>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</si>
  <si>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</si>
  <si>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</si>
  <si>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</si>
  <si>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</si>
  <si>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</si>
  <si>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</si>
  <si>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</si>
  <si>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</si>
  <si>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</si>
  <si>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</si>
  <si>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</si>
  <si>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</si>
  <si>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</si>
  <si>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</si>
  <si>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</si>
  <si>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</si>
  <si>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</si>
  <si>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</si>
  <si>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</si>
  <si>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</si>
  <si>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</si>
  <si>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</si>
  <si>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</si>
  <si>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</si>
  <si>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</si>
  <si>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</si>
  <si>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</si>
  <si>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</si>
  <si>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</si>
  <si>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</si>
  <si>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</si>
  <si>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</si>
  <si>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</si>
  <si>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</si>
  <si>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</si>
  <si>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</si>
  <si>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</si>
  <si>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</si>
  <si>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</si>
  <si>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</si>
  <si>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</si>
  <si>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</si>
  <si>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</si>
  <si>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</si>
  <si>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</si>
  <si>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</si>
  <si>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</si>
  <si>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</si>
  <si>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</si>
  <si>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</si>
  <si>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</si>
  <si>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</si>
  <si>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</si>
  <si>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</si>
  <si>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</si>
  <si>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</si>
  <si>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</si>
  <si>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</si>
  <si>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</si>
  <si>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</si>
  <si>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</si>
  <si>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</si>
  <si>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</si>
  <si>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</si>
  <si>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</si>
  <si>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</si>
  <si>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</si>
  <si>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</si>
  <si>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</si>
  <si>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</si>
  <si>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</si>
  <si>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</si>
  <si>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</si>
  <si>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</si>
  <si>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</si>
  <si>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</si>
  <si>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</si>
  <si>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</si>
  <si>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</si>
  <si>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</si>
  <si>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</si>
  <si>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</si>
  <si>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</si>
  <si>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</si>
  <si>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</si>
  <si>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</si>
  <si>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</si>
  <si>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</si>
  <si>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</si>
  <si>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</si>
  <si>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</si>
  <si>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</si>
  <si>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</si>
  <si>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</si>
  <si>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</si>
  <si>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</si>
  <si>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</si>
  <si>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</si>
  <si>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</si>
  <si>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</si>
  <si>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</si>
  <si>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</si>
  <si>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</si>
  <si>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</si>
  <si>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</si>
  <si>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</si>
  <si>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</si>
  <si>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</si>
  <si>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</si>
  <si>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</si>
  <si>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</si>
  <si>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</si>
  <si>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</si>
  <si>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</si>
  <si>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</si>
  <si>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</si>
  <si>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</si>
  <si>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</si>
  <si>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</si>
  <si>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</si>
  <si>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</si>
  <si>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</si>
  <si>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</si>
  <si>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</si>
  <si>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</si>
  <si>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</si>
  <si>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</si>
  <si>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</si>
  <si>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</si>
  <si>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</si>
  <si>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</si>
  <si>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</si>
  <si>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</si>
  <si>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</si>
  <si>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</si>
  <si>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</si>
  <si>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</si>
  <si>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</si>
  <si>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</si>
  <si>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</si>
  <si>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</si>
  <si>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</si>
  <si>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</si>
  <si>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</si>
  <si>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</si>
  <si>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</si>
  <si>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</si>
  <si>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</si>
  <si>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</si>
  <si>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</si>
  <si>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</si>
  <si>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</si>
  <si>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</si>
  <si>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</si>
  <si>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</si>
  <si>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</si>
  <si>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</si>
  <si>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</si>
  <si>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</si>
  <si>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</si>
  <si>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</si>
  <si>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</si>
  <si>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</si>
  <si>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</si>
  <si>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</si>
  <si>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</si>
  <si>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</si>
  <si>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</si>
  <si>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</si>
  <si>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</si>
  <si>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</si>
  <si>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</si>
  <si>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</si>
  <si>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</si>
  <si>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</si>
  <si>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</si>
  <si>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</si>
  <si>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</si>
  <si>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</si>
  <si>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</si>
  <si>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</si>
  <si>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</si>
  <si>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</si>
  <si>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</si>
  <si>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</si>
  <si>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</si>
  <si>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</si>
  <si>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</si>
  <si>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</si>
  <si>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</si>
  <si>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</si>
  <si>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</si>
  <si>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</si>
  <si>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</si>
  <si>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</si>
  <si>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</si>
  <si>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</si>
  <si>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</si>
  <si>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</si>
  <si>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</si>
  <si>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</si>
  <si>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</si>
  <si>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</si>
  <si>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</si>
  <si>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</si>
  <si>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</si>
  <si>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</si>
  <si>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</si>
  <si>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</si>
  <si>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</si>
  <si>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</si>
  <si>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</si>
  <si>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</si>
  <si>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</si>
  <si>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</si>
  <si>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</si>
  <si>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</si>
  <si>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</si>
  <si>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</si>
  <si>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</si>
  <si>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</si>
  <si>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</si>
  <si>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</si>
  <si>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</si>
  <si>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</si>
  <si>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</si>
  <si>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</si>
  <si>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</si>
  <si>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</si>
  <si>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</si>
  <si>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</si>
  <si>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</si>
  <si>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</si>
  <si>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</si>
  <si>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</si>
  <si>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</si>
  <si>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</si>
  <si>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</si>
  <si>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</si>
  <si>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</si>
  <si>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</si>
  <si>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</si>
  <si>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</si>
  <si>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</si>
  <si>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</si>
  <si>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</si>
  <si>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</si>
  <si>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</si>
  <si>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</si>
  <si>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</si>
  <si>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</si>
  <si>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</si>
  <si>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</si>
  <si>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</si>
  <si>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</si>
  <si>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</si>
  <si>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</si>
  <si>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</si>
  <si>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</si>
  <si>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</si>
  <si>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</si>
  <si>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</si>
  <si>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</si>
  <si>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</si>
  <si>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</si>
  <si>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</si>
  <si>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</si>
  <si>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</si>
  <si>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</si>
  <si>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</si>
  <si>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</si>
  <si>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</si>
  <si>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</si>
  <si>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</si>
  <si>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</si>
  <si>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</si>
  <si>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</si>
  <si>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</si>
  <si>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</si>
  <si>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</si>
  <si>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</si>
  <si>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</si>
  <si>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</si>
  <si>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</si>
  <si>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</si>
  <si>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</si>
  <si>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</si>
  <si>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</si>
  <si>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</si>
  <si>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</si>
  <si>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</si>
  <si>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</si>
  <si>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</si>
  <si>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</si>
  <si>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</si>
  <si>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</si>
  <si>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</si>
  <si>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</si>
  <si>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</si>
  <si>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</si>
  <si>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</si>
  <si>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</si>
  <si>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</si>
  <si>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</si>
  <si>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</si>
  <si>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</si>
  <si>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</si>
  <si>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</si>
  <si>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</si>
  <si>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</si>
  <si>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</si>
  <si>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</si>
  <si>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</si>
  <si>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</si>
  <si>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</si>
  <si>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</si>
  <si>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</si>
  <si>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</si>
  <si>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</si>
  <si>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</si>
  <si>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</si>
  <si>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</si>
  <si>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</si>
  <si>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</si>
  <si>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</si>
  <si>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</si>
  <si>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</si>
  <si>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</si>
  <si>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</si>
  <si>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</si>
  <si>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</si>
  <si>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</si>
  <si>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</si>
  <si>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</si>
  <si>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</si>
  <si>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</si>
  <si>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</si>
  <si>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</si>
  <si>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</si>
  <si>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</si>
  <si>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</si>
  <si>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</si>
  <si>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</si>
  <si>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</si>
  <si>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</si>
  <si>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</si>
  <si>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</si>
  <si>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</si>
  <si>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</si>
  <si>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</si>
  <si>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</si>
  <si>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</si>
  <si>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</si>
  <si>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</si>
  <si>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</si>
  <si>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</si>
  <si>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</si>
  <si>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</si>
  <si>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</si>
  <si>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</si>
  <si>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</si>
  <si>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</si>
  <si>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</si>
  <si>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</si>
  <si>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</si>
  <si>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</si>
  <si>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</si>
  <si>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</si>
  <si>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</si>
  <si>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</si>
  <si>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</si>
  <si>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</si>
  <si>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</si>
  <si>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</si>
  <si>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</si>
  <si>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</si>
  <si>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</si>
  <si>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</si>
  <si>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</si>
  <si>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</si>
  <si>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</si>
  <si>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</si>
  <si>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</si>
  <si>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</si>
  <si>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</si>
  <si>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</si>
  <si>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</si>
  <si>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</si>
  <si>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</si>
  <si>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</si>
  <si>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</si>
  <si>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</si>
  <si>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</si>
  <si>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</si>
  <si>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</si>
  <si>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</si>
  <si>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</si>
  <si>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</si>
  <si>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</si>
  <si>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</si>
  <si>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</si>
  <si>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</si>
  <si>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</si>
  <si>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</si>
  <si>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</si>
  <si>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</si>
  <si>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</si>
  <si>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</si>
  <si>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</si>
  <si>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</si>
  <si>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</si>
  <si>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</si>
  <si>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</si>
  <si>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</si>
  <si>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</si>
  <si>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</si>
  <si>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</si>
  <si>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</si>
  <si>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</si>
  <si>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</si>
  <si>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</si>
  <si>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</si>
  <si>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</si>
  <si>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</si>
  <si>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</si>
  <si>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</si>
  <si>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</si>
  <si>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</si>
  <si>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</si>
  <si>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</si>
  <si>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</si>
  <si>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</si>
  <si>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</si>
  <si>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</si>
  <si>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</si>
  <si>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</si>
  <si>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</si>
  <si>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</si>
  <si>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</si>
  <si>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</si>
  <si>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</si>
  <si>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</si>
  <si>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</si>
  <si>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</si>
  <si>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</si>
  <si>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</si>
  <si>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</si>
  <si>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</si>
  <si>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</si>
  <si>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</si>
  <si>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</si>
  <si>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</si>
  <si>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</si>
  <si>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</si>
  <si>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</si>
  <si>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</si>
  <si>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</si>
  <si>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</si>
  <si>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</si>
  <si>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</si>
  <si>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</si>
  <si>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</si>
  <si>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</si>
  <si>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</si>
  <si>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</si>
  <si>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</si>
  <si>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</si>
  <si>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</si>
  <si>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</si>
  <si>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</si>
  <si>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</si>
  <si>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</si>
  <si>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</si>
  <si>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</si>
  <si>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</si>
  <si>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</si>
  <si>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</si>
  <si>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</si>
  <si>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</si>
  <si>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</si>
  <si>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</si>
  <si>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</si>
  <si>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</si>
  <si>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</si>
  <si>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</si>
  <si>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</si>
  <si>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</si>
  <si>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</si>
  <si>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</si>
  <si>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</si>
  <si>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</si>
  <si>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</si>
  <si>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</si>
  <si>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</si>
  <si>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</si>
  <si>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</si>
  <si>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</si>
  <si>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</si>
  <si>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</si>
  <si>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</si>
  <si>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</si>
  <si>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</si>
  <si>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</si>
  <si>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</si>
  <si>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</si>
  <si>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</si>
  <si>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</si>
  <si>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</si>
  <si>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</si>
  <si>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</si>
  <si>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</si>
  <si>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</si>
  <si>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</si>
  <si>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</si>
  <si>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</si>
  <si>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</si>
  <si>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</si>
  <si>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</si>
  <si>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</si>
  <si>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</si>
  <si>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</si>
  <si>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</si>
  <si>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</si>
  <si>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</si>
  <si>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</si>
  <si>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</si>
  <si>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</si>
  <si>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</si>
  <si>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</si>
  <si>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</si>
  <si>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</si>
  <si>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</si>
  <si>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</si>
  <si>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</si>
  <si>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</si>
  <si>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</si>
  <si>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</si>
  <si>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</si>
  <si>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</si>
  <si>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</si>
  <si>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</si>
  <si>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</si>
  <si>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</si>
  <si>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</si>
  <si>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</si>
  <si>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</si>
  <si>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</si>
  <si>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</si>
  <si>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</si>
  <si>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</si>
  <si>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</si>
  <si>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</si>
  <si>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</si>
  <si>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</si>
  <si>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</si>
  <si>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</si>
  <si>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</si>
  <si>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</si>
  <si>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</si>
  <si>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</si>
  <si>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</si>
  <si>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</si>
  <si>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</si>
  <si>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</si>
  <si>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</si>
  <si>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</si>
  <si>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</si>
  <si>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</si>
  <si>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</si>
  <si>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</si>
  <si>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</si>
  <si>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</si>
  <si>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</si>
  <si>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</si>
  <si>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</si>
  <si>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</si>
  <si>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</si>
  <si>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</si>
  <si>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</si>
  <si>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</si>
  <si>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</si>
  <si>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</si>
  <si>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</si>
  <si>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</si>
  <si>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</si>
  <si>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</si>
  <si>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</si>
  <si>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</si>
  <si>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</si>
  <si>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</si>
  <si>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</si>
  <si>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</si>
  <si>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</si>
  <si>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</si>
  <si>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</si>
  <si>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</si>
  <si>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</si>
  <si>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</si>
  <si>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</si>
  <si>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</si>
  <si>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</si>
  <si>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</si>
  <si>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</si>
  <si>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</si>
  <si>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</si>
  <si>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</si>
  <si>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</si>
  <si>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</si>
  <si>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</si>
  <si>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</si>
  <si>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</si>
  <si>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</si>
  <si>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</si>
  <si>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</si>
  <si>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</si>
  <si>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</si>
  <si>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</si>
  <si>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</si>
  <si>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</si>
  <si>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</si>
  <si>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</si>
  <si>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</si>
  <si>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</si>
  <si>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</si>
  <si>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</si>
  <si>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</si>
  <si>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</si>
  <si>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</si>
  <si>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</si>
  <si>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</si>
  <si>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</si>
  <si>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</si>
  <si>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</si>
  <si>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</si>
  <si>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</si>
  <si>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</si>
  <si>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</si>
  <si>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</si>
  <si>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</si>
  <si>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</si>
  <si>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</si>
  <si>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</si>
  <si>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</si>
  <si>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</si>
  <si>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</si>
  <si>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</si>
  <si>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</si>
  <si>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</si>
  <si>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</si>
  <si>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</si>
  <si>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</si>
  <si>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</si>
  <si>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</si>
  <si>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</si>
  <si>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</si>
  <si>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</si>
  <si>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</si>
  <si>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</si>
  <si>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</si>
  <si>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</si>
  <si>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</si>
  <si>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</si>
  <si>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</si>
  <si>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</si>
  <si>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</si>
  <si>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</si>
  <si>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</si>
  <si>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</si>
  <si>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</si>
  <si>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</si>
  <si>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</si>
  <si>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</si>
  <si>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</si>
  <si>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</si>
  <si>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</si>
  <si>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</si>
  <si>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</si>
  <si>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</si>
  <si>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</si>
  <si>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</si>
  <si>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</si>
  <si>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</si>
  <si>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</si>
  <si>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</si>
  <si>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</si>
  <si>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</si>
  <si>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</si>
  <si>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</si>
  <si>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</si>
  <si>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</si>
  <si>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</si>
  <si>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</si>
  <si>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</si>
  <si>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</si>
  <si>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</si>
  <si>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</si>
  <si>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</si>
  <si>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</si>
  <si>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</si>
  <si>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</si>
  <si>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</si>
  <si>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</si>
  <si>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</si>
  <si>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</si>
  <si>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</si>
  <si>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</si>
  <si>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</si>
  <si>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</si>
  <si>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</si>
  <si>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</si>
  <si>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</si>
  <si>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</si>
  <si>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</si>
  <si>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</si>
  <si>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</si>
  <si>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</si>
  <si>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</si>
  <si>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</si>
  <si>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</si>
  <si>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</si>
  <si>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</si>
  <si>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</si>
  <si>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</si>
  <si>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</si>
  <si>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</si>
  <si>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</si>
  <si>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</si>
  <si>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</si>
  <si>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</si>
  <si>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</si>
  <si>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</si>
  <si>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</si>
  <si>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</si>
  <si>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</si>
  <si>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</si>
  <si>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</si>
  <si>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</si>
  <si>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</si>
  <si>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</si>
  <si>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</si>
  <si>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</si>
  <si>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</si>
  <si>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</si>
  <si>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</si>
  <si>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</si>
  <si>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</si>
  <si>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</si>
  <si>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</si>
  <si>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</si>
  <si>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</si>
  <si>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</si>
  <si>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</si>
  <si>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</si>
  <si>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</si>
  <si>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</si>
  <si>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</si>
  <si>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</si>
  <si>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</si>
  <si>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</si>
  <si>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</si>
  <si>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</si>
  <si>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</si>
  <si>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</si>
  <si>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</si>
  <si>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</si>
  <si>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</si>
  <si>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</si>
  <si>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</si>
  <si>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</si>
  <si>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</si>
  <si>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</si>
  <si>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</si>
  <si>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</si>
  <si>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</si>
  <si>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</si>
  <si>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</si>
  <si>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</si>
  <si>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</si>
  <si>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</si>
  <si>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</si>
  <si>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</si>
  <si>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</si>
  <si>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</si>
  <si>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</si>
  <si>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</si>
  <si>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</si>
  <si>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</si>
  <si>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</si>
  <si>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</si>
  <si>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</si>
  <si>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</si>
  <si>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</si>
  <si>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</si>
  <si>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</si>
  <si>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</si>
  <si>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</si>
  <si>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</si>
  <si>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</si>
  <si>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</si>
  <si>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</si>
  <si>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</si>
  <si>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</si>
  <si>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</si>
  <si>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</si>
  <si>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</si>
  <si>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</si>
  <si>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</si>
  <si>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</si>
  <si>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</si>
  <si>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</si>
  <si>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</si>
  <si>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</si>
  <si>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</si>
  <si>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</si>
  <si>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</si>
  <si>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</si>
  <si>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</si>
  <si>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</si>
  <si>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</si>
  <si>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</si>
  <si>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</si>
  <si>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</si>
  <si>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</si>
  <si>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</si>
  <si>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</si>
  <si>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</si>
  <si>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</si>
  <si>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</si>
  <si>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</si>
  <si>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</si>
  <si>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</si>
  <si>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</si>
  <si>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</si>
  <si>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</si>
  <si>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</si>
  <si>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</si>
  <si>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</si>
  <si>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</si>
  <si>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</si>
  <si>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</si>
  <si>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</si>
  <si>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</si>
  <si>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</si>
  <si>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</si>
  <si>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</si>
  <si>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</si>
  <si>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</si>
  <si>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</si>
  <si>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</si>
  <si>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</si>
  <si>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</si>
  <si>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</si>
  <si>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</si>
  <si>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</si>
  <si>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</si>
  <si>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</si>
  <si>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</si>
  <si>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</si>
  <si>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</si>
  <si>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</si>
  <si>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</si>
  <si>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</si>
  <si>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</si>
  <si>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</si>
  <si>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</si>
  <si>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</si>
  <si>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</si>
  <si>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</si>
  <si>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</si>
  <si>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</si>
  <si>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</si>
  <si>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</si>
  <si>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</si>
  <si>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</si>
  <si>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</si>
  <si>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</si>
  <si>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</si>
  <si>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</si>
  <si>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</si>
  <si>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</si>
  <si>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</si>
  <si>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</si>
  <si>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</si>
  <si>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</si>
  <si>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</si>
  <si>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</si>
  <si>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</si>
  <si>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</si>
  <si>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</si>
  <si>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</si>
  <si>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</si>
  <si>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</si>
  <si>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</si>
  <si>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</si>
  <si>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</si>
  <si>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</si>
  <si>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</si>
  <si>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</si>
  <si>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</si>
  <si>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</si>
  <si>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</si>
  <si>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</si>
  <si>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</si>
  <si>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</si>
  <si>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</si>
  <si>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</si>
  <si>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</si>
  <si>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</si>
  <si>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</si>
  <si>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</si>
  <si>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</si>
  <si>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</si>
  <si>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</si>
  <si>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</si>
  <si>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</si>
  <si>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</si>
  <si>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</si>
  <si>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</si>
  <si>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</si>
  <si>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</si>
  <si>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</si>
  <si>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</si>
  <si>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</si>
  <si>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</si>
  <si>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</si>
  <si>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</si>
  <si>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</si>
  <si>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</si>
  <si>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</si>
  <si>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</si>
  <si>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</si>
  <si>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</si>
  <si>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</si>
  <si>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</si>
  <si>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</si>
  <si>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</si>
  <si>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</si>
  <si>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</si>
  <si>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</si>
  <si>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</si>
  <si>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</si>
  <si>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</si>
  <si>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</si>
  <si>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</si>
  <si>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</si>
  <si>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</si>
  <si>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</si>
  <si>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</si>
  <si>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</si>
  <si>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</si>
  <si>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</si>
  <si>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</si>
  <si>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</si>
  <si>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</si>
  <si>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</si>
  <si>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</si>
  <si>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</si>
  <si>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</si>
  <si>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</si>
  <si>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</si>
  <si>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</si>
  <si>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</si>
  <si>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</si>
  <si>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</si>
  <si>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</si>
  <si>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</si>
  <si>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</si>
  <si>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</si>
  <si>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</si>
  <si>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</si>
  <si>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</si>
  <si>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</si>
  <si>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</si>
  <si>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</si>
  <si>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</si>
  <si>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</si>
  <si>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</si>
  <si>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</si>
  <si>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</si>
  <si>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</si>
  <si>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</si>
  <si>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</si>
  <si>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</si>
  <si>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</si>
  <si>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</si>
  <si>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</si>
  <si>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</si>
  <si>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</si>
  <si>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</si>
  <si>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</si>
  <si>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</si>
  <si>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</si>
  <si>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</si>
  <si>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</si>
  <si>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</si>
  <si>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</si>
  <si>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</si>
  <si>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</si>
  <si>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</si>
  <si>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</si>
  <si>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</si>
  <si>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</si>
  <si>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</si>
  <si>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</si>
  <si>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</si>
  <si>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</si>
  <si>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</si>
  <si>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</si>
  <si>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</si>
  <si>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</si>
  <si>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</si>
  <si>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</si>
  <si>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</si>
  <si>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</si>
  <si>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</si>
  <si>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</si>
  <si>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</si>
  <si>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</si>
  <si>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</si>
  <si>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</si>
  <si>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</si>
  <si>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</si>
  <si>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</si>
  <si>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</si>
  <si>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</si>
  <si>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</si>
  <si>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</si>
  <si>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</si>
  <si>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</si>
  <si>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</si>
  <si>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</si>
  <si>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</si>
  <si>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</si>
  <si>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</si>
  <si>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</si>
  <si>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</si>
  <si>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</si>
  <si>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</si>
  <si>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</si>
  <si>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</si>
  <si>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</si>
  <si>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</si>
  <si>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</si>
  <si>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</si>
  <si>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</si>
  <si>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</si>
  <si>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</si>
  <si>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</si>
  <si>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</si>
  <si>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</si>
  <si>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</si>
  <si>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</si>
  <si>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</si>
  <si>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</si>
  <si>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</si>
  <si>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</si>
  <si>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</si>
  <si>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</si>
  <si>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</si>
  <si>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</si>
  <si>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</si>
  <si>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</si>
  <si>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</si>
  <si>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</si>
  <si>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</si>
  <si>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</si>
  <si>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</si>
  <si>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</si>
  <si>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</si>
  <si>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</si>
  <si>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</si>
  <si>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</si>
  <si>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</si>
  <si>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</si>
  <si>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</si>
  <si>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</si>
  <si>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</si>
  <si>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</si>
  <si>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</si>
  <si>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</si>
  <si>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</si>
  <si>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</si>
  <si>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</si>
  <si>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</si>
  <si>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</si>
  <si>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</si>
  <si>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</si>
  <si>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</si>
  <si>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</si>
  <si>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</si>
  <si>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</si>
  <si>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</si>
  <si>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</si>
  <si>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</si>
  <si>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</si>
  <si>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</si>
  <si>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</si>
  <si>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</si>
  <si>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</si>
  <si>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</si>
  <si>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</si>
  <si>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</si>
  <si>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</si>
  <si>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</si>
  <si>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</si>
  <si>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</si>
  <si>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</si>
  <si>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</si>
  <si>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</si>
  <si>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</si>
  <si>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</si>
  <si>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</si>
  <si>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</si>
  <si>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</si>
  <si>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</si>
  <si>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</si>
  <si>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</si>
  <si>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</si>
  <si>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</si>
  <si>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</si>
  <si>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</si>
  <si>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</si>
  <si>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</si>
  <si>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</si>
  <si>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</si>
  <si>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</si>
  <si>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</si>
  <si>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</si>
  <si>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</si>
  <si>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</si>
  <si>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</si>
  <si>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</si>
  <si>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</si>
  <si>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</si>
  <si>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</si>
  <si>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</si>
  <si>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</si>
  <si>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</si>
  <si>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</si>
  <si>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</si>
  <si>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</si>
  <si>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</si>
  <si>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</si>
  <si>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</si>
  <si>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</si>
  <si>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</si>
  <si>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</si>
  <si>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</si>
  <si>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</si>
  <si>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</si>
  <si>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</si>
  <si>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</si>
  <si>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</si>
  <si>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</si>
  <si>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</si>
  <si>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</si>
  <si>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</si>
  <si>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</si>
  <si>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</si>
  <si>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</si>
  <si>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</si>
  <si>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</si>
  <si>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</si>
  <si>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</si>
  <si>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</si>
  <si>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</si>
  <si>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</si>
  <si>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</si>
  <si>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</si>
  <si>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</si>
  <si>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</si>
  <si>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</si>
  <si>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</si>
  <si>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</si>
  <si>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</si>
  <si>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</si>
  <si>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</si>
  <si>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</si>
  <si>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</si>
  <si>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</si>
  <si>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</si>
  <si>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</si>
  <si>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</si>
  <si>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</si>
  <si>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</si>
  <si>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</si>
  <si>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</si>
  <si>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</si>
  <si>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</si>
  <si>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</si>
  <si>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</si>
  <si>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</si>
  <si>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</si>
  <si>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</si>
  <si>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</si>
  <si>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</si>
  <si>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</si>
  <si>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</si>
  <si>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</si>
  <si>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</si>
  <si>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</si>
  <si>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</si>
  <si>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</si>
  <si>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</si>
  <si>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</si>
  <si>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</si>
  <si>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</si>
  <si>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</si>
  <si>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</si>
  <si>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</si>
  <si>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</si>
  <si>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</si>
  <si>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</si>
  <si>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</si>
  <si>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</si>
  <si>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</si>
  <si>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</si>
  <si>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</si>
  <si>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</si>
  <si>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</si>
  <si>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</si>
  <si>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</si>
  <si>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</si>
  <si>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</si>
  <si>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</si>
  <si>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</si>
  <si>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</si>
  <si>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</si>
  <si>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</si>
  <si>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</si>
  <si>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</si>
  <si>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</si>
  <si>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</si>
  <si>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</si>
  <si>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</si>
  <si>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</si>
  <si>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</si>
  <si>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</si>
  <si>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</si>
  <si>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</si>
  <si>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</si>
  <si>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</si>
  <si>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</si>
  <si>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</si>
  <si>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</si>
  <si>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</si>
  <si>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</si>
  <si>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</si>
  <si>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</si>
  <si>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</si>
  <si>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</si>
  <si>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</si>
  <si>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</si>
  <si>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</si>
  <si>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</si>
  <si>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</si>
  <si>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</si>
  <si>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</si>
  <si>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</si>
  <si>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</si>
  <si>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</si>
  <si>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</si>
  <si>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</si>
  <si>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</si>
  <si>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</si>
  <si>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</si>
  <si>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</si>
  <si>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</si>
  <si>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</si>
  <si>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</si>
  <si>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</si>
  <si>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</si>
  <si>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</si>
  <si>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</si>
  <si>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</si>
  <si>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</si>
  <si>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</si>
  <si>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</si>
  <si>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</si>
  <si>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</si>
  <si>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</si>
  <si>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</si>
  <si>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</si>
  <si>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</si>
  <si>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</si>
  <si>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</si>
  <si>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</si>
  <si>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</si>
  <si>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</si>
  <si>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</si>
  <si>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</si>
  <si>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</si>
  <si>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</si>
  <si>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</si>
  <si>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</si>
  <si>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</si>
  <si>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</si>
  <si>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</si>
  <si>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</si>
  <si>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</si>
  <si>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</si>
  <si>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</si>
  <si>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</si>
  <si>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</si>
  <si>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</si>
  <si>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</si>
  <si>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</si>
  <si>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</si>
  <si>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</si>
  <si>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</si>
  <si>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</si>
  <si>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</si>
  <si>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</si>
  <si>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</si>
  <si>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</si>
  <si>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</si>
  <si>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</si>
  <si>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</si>
  <si>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</si>
  <si>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</si>
  <si>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</si>
  <si>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</si>
  <si>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</si>
  <si>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</si>
  <si>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</si>
  <si>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</si>
  <si>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</si>
  <si>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</si>
  <si>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</si>
  <si>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</si>
  <si>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</si>
  <si>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</si>
  <si>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</si>
  <si>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</si>
  <si>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</si>
  <si>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</si>
  <si>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</si>
  <si>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</si>
  <si>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</si>
  <si>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</si>
  <si>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</si>
  <si>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</si>
  <si>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</si>
  <si>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</si>
  <si>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</si>
  <si>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</si>
  <si>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</si>
  <si>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</si>
  <si>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</si>
  <si>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</si>
  <si>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</si>
  <si>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</si>
  <si>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</si>
  <si>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</si>
  <si>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</si>
  <si>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</si>
  <si>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</si>
  <si>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</si>
  <si>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</si>
  <si>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</si>
  <si>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</si>
  <si>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</si>
  <si>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</si>
  <si>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</si>
  <si>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</si>
  <si>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</si>
  <si>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</si>
  <si>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</si>
  <si>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</si>
  <si>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</si>
  <si>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</si>
  <si>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</si>
  <si>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</si>
  <si>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</si>
  <si>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</si>
  <si>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</si>
  <si>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</si>
  <si>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</si>
  <si>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</si>
  <si>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</si>
  <si>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</si>
  <si>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</si>
  <si>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</si>
  <si>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</si>
  <si>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</si>
  <si>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</si>
  <si>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</si>
  <si>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</si>
  <si>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</si>
  <si>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</si>
  <si>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</si>
  <si>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</si>
  <si>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</si>
  <si>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</si>
  <si>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</si>
  <si>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</si>
  <si>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</si>
  <si>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</si>
  <si>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</si>
  <si>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</si>
  <si>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</si>
  <si>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</si>
  <si>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</si>
  <si>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</si>
  <si>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</si>
  <si>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</si>
  <si>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</si>
  <si>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</si>
  <si>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</si>
  <si>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</si>
  <si>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</si>
  <si>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</si>
  <si>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</si>
  <si>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</si>
  <si>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</si>
  <si>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</si>
  <si>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</si>
  <si>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</si>
  <si>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</si>
  <si>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</si>
  <si>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</si>
  <si>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</si>
  <si>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</si>
  <si>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</si>
  <si>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</si>
  <si>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</si>
  <si>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</si>
  <si>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</si>
  <si>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</si>
  <si>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</si>
  <si>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</si>
  <si>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</si>
  <si>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</si>
  <si>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</si>
  <si>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</si>
  <si>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</si>
  <si>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</si>
  <si>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</si>
  <si>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</si>
  <si>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</si>
  <si>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</si>
  <si>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</si>
  <si>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</si>
  <si>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</si>
  <si>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</si>
  <si>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</si>
  <si>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</si>
  <si>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</si>
  <si>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</si>
  <si>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</si>
  <si>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</si>
  <si>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</si>
  <si>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</si>
  <si>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</si>
  <si>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</si>
  <si>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</si>
  <si>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</si>
  <si>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</si>
  <si>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</si>
  <si>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</si>
  <si>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</si>
  <si>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</si>
  <si>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</si>
  <si>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</si>
  <si>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</si>
  <si>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</si>
  <si>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</si>
  <si>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</si>
  <si>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</si>
  <si>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</si>
  <si>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</si>
  <si>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</si>
  <si>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</si>
  <si>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</si>
  <si>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</si>
  <si>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</si>
  <si>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</si>
  <si>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</si>
  <si>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</si>
  <si>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</si>
  <si>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</si>
  <si>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</si>
  <si>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</si>
  <si>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</si>
  <si>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</si>
  <si>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</si>
  <si>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</si>
  <si>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</si>
  <si>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</si>
  <si>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</si>
  <si>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</si>
  <si>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</si>
  <si>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</si>
  <si>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</si>
  <si>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</si>
  <si>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</si>
  <si>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</si>
  <si>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</si>
  <si>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</si>
  <si>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</si>
  <si>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</si>
  <si>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</si>
  <si>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</si>
  <si>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</si>
  <si>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</si>
  <si>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</si>
  <si>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</si>
  <si>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</si>
  <si>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</si>
  <si>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</si>
  <si>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</si>
  <si>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</si>
  <si>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</si>
  <si>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</si>
  <si>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</si>
  <si>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</si>
  <si>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</si>
  <si>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</si>
  <si>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</si>
  <si>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</si>
  <si>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</si>
  <si>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</si>
  <si>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</si>
  <si>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</si>
  <si>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</si>
  <si>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</si>
  <si>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</si>
  <si>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</si>
  <si>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</si>
  <si>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</si>
  <si>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</si>
  <si>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</si>
  <si>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</si>
  <si>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</si>
  <si>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</si>
  <si>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</si>
  <si>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</si>
  <si>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</si>
  <si>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</si>
  <si>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</si>
  <si>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</si>
  <si>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</si>
  <si>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</si>
  <si>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</si>
  <si>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</si>
  <si>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</si>
  <si>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</si>
  <si>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</si>
  <si>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</si>
  <si>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</si>
  <si>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</si>
  <si>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</si>
  <si>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</si>
  <si>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</si>
  <si>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</si>
  <si>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</si>
  <si>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</si>
  <si>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</si>
  <si>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</si>
  <si>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</si>
  <si>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</si>
  <si>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</si>
  <si>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</si>
  <si>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</si>
  <si>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</si>
  <si>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</si>
  <si>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</si>
  <si>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</si>
  <si>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</si>
  <si>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</si>
  <si>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</si>
  <si>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</si>
  <si>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</si>
  <si>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</si>
  <si>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</si>
  <si>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</si>
  <si>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</si>
  <si>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</si>
  <si>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</si>
  <si>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</si>
  <si>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</si>
  <si>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</si>
  <si>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</si>
  <si>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</si>
  <si>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</si>
  <si>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</si>
  <si>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</si>
  <si>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</si>
  <si>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</si>
  <si>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</si>
  <si>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</si>
  <si>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</si>
  <si>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</si>
  <si>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</si>
  <si>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</si>
  <si>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</si>
  <si>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</si>
  <si>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</si>
  <si>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</si>
  <si>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</si>
  <si>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</si>
  <si>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</si>
  <si>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</si>
  <si>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</si>
  <si>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</si>
  <si>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</si>
  <si>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</si>
  <si>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</si>
  <si>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</si>
  <si>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</si>
  <si>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</si>
  <si>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</si>
  <si>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</si>
  <si>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</si>
  <si>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</si>
  <si>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</si>
  <si>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</si>
  <si>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</si>
  <si>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</si>
  <si>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</si>
  <si>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</si>
  <si>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</si>
  <si>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</si>
  <si>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</si>
  <si>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</si>
  <si>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</si>
  <si>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</si>
  <si>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</si>
  <si>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</si>
  <si>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</si>
  <si>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</si>
  <si>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</si>
  <si>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</si>
  <si>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</si>
  <si>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</si>
  <si>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</si>
  <si>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</si>
  <si>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</si>
  <si>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</si>
  <si>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</si>
  <si>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</si>
  <si>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</si>
  <si>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</si>
  <si>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</si>
  <si>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</si>
  <si>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</si>
  <si>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</si>
  <si>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</si>
  <si>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</si>
  <si>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</si>
  <si>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</si>
  <si>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</si>
  <si>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</si>
  <si>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</si>
  <si>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</si>
  <si>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</si>
  <si>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</si>
  <si>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</si>
  <si>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</si>
  <si>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</si>
  <si>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</si>
  <si>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</si>
  <si>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</si>
  <si>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</si>
  <si>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</si>
  <si>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</si>
  <si>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</si>
  <si>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</si>
  <si>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</si>
  <si>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</si>
  <si>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</si>
  <si>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</si>
  <si>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</si>
  <si>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</si>
  <si>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</si>
  <si>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</si>
  <si>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</si>
  <si>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</si>
  <si>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</si>
  <si>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</si>
  <si>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</si>
  <si>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</si>
  <si>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</si>
  <si>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</si>
  <si>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</si>
  <si>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</si>
  <si>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</si>
  <si>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</si>
  <si>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</si>
  <si>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</si>
  <si>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</si>
  <si>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</si>
  <si>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</si>
  <si>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</si>
  <si>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</si>
  <si>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</si>
  <si>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</si>
  <si>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</si>
  <si>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</si>
  <si>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</si>
  <si>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</si>
  <si>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</si>
  <si>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</si>
  <si>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</si>
  <si>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</si>
  <si>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</si>
  <si>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</si>
  <si>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</si>
  <si>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</si>
  <si>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</si>
  <si>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</si>
  <si>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</si>
  <si>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</si>
  <si>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</si>
  <si>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</si>
  <si>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</si>
  <si>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</si>
  <si>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</si>
  <si>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</si>
  <si>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</si>
  <si>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</si>
  <si>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</si>
  <si>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</si>
  <si>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</si>
  <si>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</si>
  <si>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</si>
  <si>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</si>
  <si>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</si>
  <si>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</si>
  <si>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</si>
  <si>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</si>
  <si>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</si>
  <si>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</si>
  <si>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</si>
  <si>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</si>
  <si>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</si>
  <si>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</si>
  <si>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</si>
  <si>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</si>
  <si>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</si>
  <si>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</si>
  <si>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</si>
  <si>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</si>
  <si>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</si>
  <si>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</si>
  <si>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</si>
  <si>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</si>
  <si>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</si>
  <si>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</si>
  <si>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</si>
  <si>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</si>
  <si>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</si>
  <si>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</si>
  <si>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</si>
  <si>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</si>
  <si>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</si>
  <si>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</si>
  <si>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</si>
  <si>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</si>
  <si>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</si>
  <si>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</si>
  <si>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</si>
  <si>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</si>
  <si>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</si>
  <si>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</si>
  <si>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</si>
  <si>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</si>
  <si>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</si>
  <si>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</si>
  <si>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</si>
  <si>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</si>
  <si>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</si>
  <si>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</si>
  <si>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</si>
  <si>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</si>
  <si>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</si>
  <si>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</si>
  <si>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</si>
  <si>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</si>
  <si>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</si>
  <si>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</si>
  <si>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</si>
  <si>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</si>
  <si>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</si>
  <si>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</si>
  <si>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</si>
  <si>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</si>
  <si>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</si>
  <si>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</si>
  <si>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</si>
  <si>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</si>
  <si>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</si>
  <si>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</si>
  <si>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</si>
  <si>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</si>
  <si>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</si>
  <si>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</si>
  <si>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</si>
  <si>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</si>
  <si>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</si>
  <si>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</si>
  <si>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</si>
  <si>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</si>
  <si>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</si>
  <si>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</si>
  <si>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</si>
  <si>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</si>
  <si>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</si>
  <si>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</si>
  <si>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</si>
  <si>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</si>
  <si>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</si>
  <si>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</si>
  <si>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</si>
  <si>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</si>
  <si>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</si>
  <si>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</si>
  <si>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</si>
  <si>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</si>
  <si>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</si>
  <si>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</si>
  <si>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</si>
  <si>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</si>
  <si>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</si>
  <si>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</si>
  <si>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</si>
  <si>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</si>
  <si>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</si>
  <si>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</si>
  <si>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</si>
  <si>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</si>
  <si>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</si>
  <si>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</si>
  <si>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</si>
  <si>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</si>
  <si>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</si>
  <si>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</si>
  <si>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</si>
  <si>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</si>
  <si>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</si>
  <si>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</si>
  <si>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</si>
  <si>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</si>
  <si>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</si>
  <si>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</si>
  <si>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</si>
  <si>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</si>
  <si>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</si>
  <si>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</si>
  <si>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</si>
  <si>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</si>
  <si>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</si>
  <si>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</si>
  <si>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</si>
  <si>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</si>
  <si>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</si>
  <si>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</si>
  <si>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</si>
  <si>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</si>
  <si>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</si>
  <si>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</si>
  <si>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</si>
  <si>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</si>
  <si>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</si>
  <si>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</si>
  <si>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</si>
  <si>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</si>
  <si>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</si>
  <si>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</si>
  <si>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</si>
  <si>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</si>
  <si>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</si>
  <si>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</si>
  <si>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</si>
  <si>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</si>
  <si>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</si>
  <si>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</si>
  <si>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</si>
  <si>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</si>
  <si>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</si>
  <si>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</si>
  <si>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</si>
  <si>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</si>
  <si>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</si>
  <si>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</si>
  <si>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</si>
  <si>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</si>
  <si>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</si>
  <si>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</si>
  <si>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</si>
  <si>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</si>
  <si>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</si>
  <si>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</si>
  <si>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</si>
  <si>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</si>
  <si>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</si>
  <si>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</si>
  <si>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</si>
  <si>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</si>
  <si>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</si>
  <si>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</si>
  <si>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</si>
  <si>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</si>
  <si>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</si>
  <si>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</si>
  <si>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</si>
  <si>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</si>
  <si>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</si>
  <si>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</si>
  <si>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</si>
  <si>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</si>
  <si>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</si>
  <si>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</si>
  <si>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</si>
  <si>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</si>
  <si>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</si>
  <si>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</si>
  <si>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</si>
  <si>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</si>
  <si>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</si>
  <si>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</si>
  <si>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</si>
  <si>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</si>
  <si>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</si>
  <si>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</si>
  <si>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</si>
  <si>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</si>
  <si>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</si>
  <si>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</si>
  <si>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</si>
  <si>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</si>
  <si>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</si>
  <si>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</si>
  <si>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</si>
  <si>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</si>
  <si>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</si>
  <si>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</si>
  <si>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</si>
  <si>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</si>
  <si>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</si>
  <si>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</si>
  <si>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</si>
  <si>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</si>
  <si>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</si>
  <si>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</si>
  <si>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</si>
  <si>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</si>
  <si>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</si>
  <si>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</si>
  <si>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</si>
  <si>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</si>
  <si>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</si>
  <si>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</si>
  <si>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</si>
  <si>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</si>
  <si>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</si>
  <si>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</si>
  <si>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</si>
  <si>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</si>
  <si>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</si>
  <si>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</si>
  <si>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</si>
  <si>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</si>
  <si>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</si>
  <si>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</si>
  <si>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</si>
  <si>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</si>
  <si>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</si>
  <si>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</si>
  <si>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</si>
  <si>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</si>
  <si>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</si>
  <si>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</si>
  <si>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</si>
  <si>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</si>
  <si>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</si>
  <si>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</si>
  <si>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</si>
  <si>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</si>
  <si>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</si>
  <si>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</si>
  <si>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</si>
  <si>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</si>
  <si>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</si>
  <si>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</si>
  <si>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</si>
  <si>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</si>
  <si>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</si>
  <si>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</si>
  <si>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</si>
  <si>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</si>
  <si>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</si>
  <si>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</si>
  <si>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</si>
  <si>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</si>
  <si>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</si>
  <si>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</si>
  <si>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</si>
  <si>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</si>
  <si>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</si>
  <si>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</si>
  <si>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</si>
  <si>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</si>
  <si>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</si>
  <si>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</si>
  <si>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</si>
  <si>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</si>
  <si>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</si>
  <si>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</si>
  <si>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</si>
  <si>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</si>
  <si>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</si>
  <si>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</si>
  <si>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</si>
  <si>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</si>
  <si>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</si>
  <si>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</si>
  <si>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</si>
  <si>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</si>
  <si>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</si>
  <si>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</si>
  <si>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</si>
  <si>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</si>
  <si>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</si>
  <si>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</si>
  <si>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</si>
  <si>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</si>
  <si>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</si>
  <si>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</si>
  <si>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</si>
  <si>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</si>
  <si>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</si>
  <si>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</si>
  <si>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</si>
  <si>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</si>
  <si>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</si>
  <si>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</si>
  <si>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</si>
  <si>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</si>
  <si>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</si>
  <si>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</si>
  <si>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</si>
  <si>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</si>
  <si>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</si>
  <si>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</si>
  <si>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</si>
  <si>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</si>
  <si>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</si>
  <si>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</si>
  <si>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</si>
  <si>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</si>
  <si>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</si>
  <si>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</si>
  <si>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</si>
  <si>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</si>
  <si>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</si>
  <si>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</si>
  <si>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</si>
  <si>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</si>
  <si>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</si>
  <si>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</si>
  <si>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</si>
  <si>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</si>
  <si>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</si>
  <si>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</si>
  <si>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</si>
  <si>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</si>
  <si>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</si>
  <si>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</si>
  <si>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</si>
  <si>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</si>
  <si>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</si>
  <si>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</si>
  <si>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</si>
  <si>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</si>
  <si>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</si>
  <si>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</si>
  <si>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</si>
  <si>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</si>
  <si>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</si>
  <si>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</si>
  <si>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</si>
  <si>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</si>
  <si>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</si>
  <si>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</si>
  <si>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</si>
  <si>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</si>
  <si>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</si>
  <si>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</si>
  <si>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</si>
  <si>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</si>
  <si>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</si>
  <si>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</si>
  <si>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</si>
  <si>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</si>
  <si>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</si>
  <si>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</si>
  <si>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</si>
  <si>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</si>
  <si>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</si>
  <si>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</si>
  <si>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</si>
  <si>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</si>
  <si>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</si>
  <si>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</si>
  <si>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</si>
  <si>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</si>
  <si>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</si>
  <si>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</si>
  <si>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</si>
  <si>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</si>
  <si>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</si>
  <si>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</si>
  <si>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</si>
  <si>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</si>
  <si>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</si>
  <si>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</si>
  <si>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</si>
  <si>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</si>
  <si>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</si>
  <si>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</si>
  <si>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</si>
  <si>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</si>
  <si>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</si>
  <si>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</si>
  <si>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</si>
  <si>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</si>
  <si>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</si>
  <si>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</si>
  <si>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</si>
  <si>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</si>
  <si>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</si>
  <si>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</si>
  <si>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</si>
  <si>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</si>
  <si>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</si>
  <si>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</si>
  <si>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</si>
  <si>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</si>
  <si>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</si>
  <si>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</si>
  <si>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</si>
  <si>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</si>
  <si>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</si>
  <si>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</si>
  <si>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</si>
  <si>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</si>
  <si>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</si>
  <si>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</si>
  <si>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</si>
  <si>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</si>
  <si>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</si>
  <si>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</si>
  <si>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</si>
  <si>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</si>
  <si>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</si>
  <si>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</si>
  <si>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</si>
  <si>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</si>
  <si>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</si>
  <si>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</si>
  <si>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</si>
  <si>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</si>
  <si>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</si>
  <si>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</si>
  <si>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</si>
  <si>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</si>
  <si>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</si>
  <si>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</si>
  <si>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</si>
  <si>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</si>
  <si>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</si>
  <si>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</si>
  <si>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</si>
  <si>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</si>
  <si>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</si>
  <si>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</si>
  <si>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</si>
  <si>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</si>
  <si>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</si>
  <si>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</si>
  <si>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</si>
  <si>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</si>
  <si>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</si>
  <si>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</si>
  <si>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</si>
  <si>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</si>
  <si>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</si>
  <si>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</si>
  <si>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</si>
  <si>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</si>
  <si>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</si>
  <si>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</si>
  <si>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</si>
  <si>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</si>
  <si>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</si>
  <si>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</si>
  <si>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</si>
  <si>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</si>
  <si>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</si>
  <si>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</si>
  <si>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</si>
  <si>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</si>
  <si>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</si>
  <si>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</si>
  <si>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</si>
  <si>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</si>
  <si>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</si>
  <si>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</si>
  <si>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</si>
  <si>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</si>
  <si>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</si>
  <si>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</si>
  <si>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</si>
  <si>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</si>
  <si>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</si>
  <si>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</si>
  <si>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</si>
  <si>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</si>
  <si>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</si>
  <si>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</si>
  <si>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</si>
  <si>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</si>
  <si>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</si>
  <si>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</si>
  <si>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</si>
  <si>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</si>
  <si>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</si>
  <si>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</si>
  <si>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</si>
  <si>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</si>
  <si>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</si>
  <si>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</si>
  <si>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</si>
  <si>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</si>
  <si>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</si>
  <si>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</si>
  <si>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</si>
  <si>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</si>
  <si>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</si>
  <si>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</si>
  <si>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</si>
  <si>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</si>
  <si>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</si>
  <si>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</si>
  <si>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</si>
  <si>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</si>
  <si>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</si>
  <si>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</si>
  <si>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</si>
  <si>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</si>
  <si>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</si>
  <si>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</si>
  <si>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</si>
  <si>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</si>
  <si>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</si>
  <si>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</si>
  <si>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</si>
  <si>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</si>
  <si>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</si>
  <si>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</si>
  <si>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</si>
  <si>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</si>
  <si>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</si>
  <si>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</si>
  <si>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</si>
  <si>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</si>
  <si>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</si>
  <si>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</si>
  <si>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</si>
  <si>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</si>
  <si>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</si>
  <si>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</si>
  <si>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</si>
  <si>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</si>
  <si>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</si>
  <si>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</si>
  <si>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</si>
  <si>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</si>
  <si>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</si>
  <si>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</si>
  <si>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</si>
  <si>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</si>
  <si>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</si>
  <si>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</si>
  <si>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</si>
  <si>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</si>
  <si>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</si>
  <si>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</si>
  <si>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</si>
  <si>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</si>
  <si>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</si>
  <si>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</si>
  <si>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</si>
  <si>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</si>
  <si>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</si>
  <si>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</si>
  <si>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</si>
  <si>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</si>
  <si>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</si>
  <si>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</si>
  <si>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</si>
  <si>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</si>
  <si>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</si>
  <si>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</si>
  <si>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</si>
  <si>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</si>
  <si>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</si>
  <si>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</si>
  <si>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</si>
  <si>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</si>
  <si>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</si>
  <si>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</si>
  <si>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</si>
  <si>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</si>
  <si>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</si>
  <si>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</si>
  <si>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</si>
  <si>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</si>
  <si>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</si>
  <si>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</si>
  <si>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</si>
  <si>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</si>
  <si>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</si>
  <si>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</si>
  <si>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</si>
  <si>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</si>
  <si>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</si>
  <si>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</si>
  <si>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</si>
  <si>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</si>
  <si>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</si>
  <si>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</si>
  <si>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</si>
  <si>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</si>
  <si>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</si>
  <si>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</si>
  <si>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</si>
  <si>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</si>
  <si>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</si>
  <si>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</si>
  <si>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</si>
  <si>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</si>
  <si>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</si>
  <si>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</si>
  <si>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</si>
  <si>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</si>
  <si>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</si>
  <si>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</si>
  <si>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</si>
  <si>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</si>
  <si>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</si>
  <si>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</si>
  <si>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</si>
  <si>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</si>
  <si>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</si>
  <si>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</si>
  <si>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</si>
  <si>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</si>
  <si>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</si>
  <si>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</si>
  <si>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</si>
  <si>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</si>
  <si>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</si>
  <si>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</si>
  <si>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</si>
  <si>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</si>
  <si>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</si>
  <si>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</si>
  <si>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</si>
  <si>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</si>
  <si>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</si>
  <si>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</si>
  <si>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</si>
  <si>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</si>
  <si>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</si>
  <si>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</si>
  <si>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</si>
  <si>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</si>
  <si>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</si>
  <si>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</si>
  <si>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</si>
  <si>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</si>
  <si>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</si>
  <si>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</si>
  <si>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</si>
  <si>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</si>
  <si>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</si>
  <si>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</si>
  <si>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</si>
  <si>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</si>
  <si>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</si>
  <si>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</si>
  <si>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</si>
  <si>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</si>
  <si>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</si>
  <si>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</si>
  <si>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</si>
  <si>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</si>
  <si>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</si>
  <si>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</si>
  <si>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</si>
  <si>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</si>
  <si>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</si>
  <si>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</si>
  <si>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</si>
  <si>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</si>
  <si>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</si>
  <si>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</si>
  <si>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</si>
  <si>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</si>
  <si>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</si>
  <si>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</si>
  <si>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</si>
  <si>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</si>
  <si>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</si>
  <si>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</si>
  <si>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</si>
  <si>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</si>
  <si>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</si>
  <si>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</si>
  <si>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</si>
  <si>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</si>
  <si>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</si>
  <si>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</si>
  <si>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</si>
  <si>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</si>
  <si>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</si>
  <si>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</si>
  <si>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</si>
  <si>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</si>
  <si>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</si>
  <si>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</si>
  <si>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</si>
  <si>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</si>
  <si>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</si>
  <si>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</si>
  <si>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</si>
  <si>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</si>
  <si>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</si>
  <si>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</si>
  <si>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</si>
  <si>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</si>
  <si>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</si>
  <si>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</si>
  <si>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</si>
  <si>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</si>
  <si>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</si>
  <si>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</si>
  <si>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</si>
  <si>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</si>
  <si>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</si>
  <si>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</si>
  <si>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</si>
  <si>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</si>
  <si>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</si>
  <si>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</si>
  <si>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</si>
  <si>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</si>
  <si>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</si>
  <si>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</si>
  <si>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</si>
  <si>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</si>
  <si>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</si>
  <si>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</si>
  <si>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</si>
  <si>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</si>
  <si>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</si>
  <si>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</si>
  <si>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</si>
  <si>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</si>
  <si>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</si>
  <si>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</si>
  <si>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</si>
  <si>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</si>
  <si>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</si>
  <si>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</si>
  <si>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</si>
  <si>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</si>
  <si>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</si>
  <si>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</si>
  <si>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</si>
  <si>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</si>
  <si>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</si>
  <si>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</si>
  <si>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</si>
  <si>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</si>
  <si>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</si>
  <si>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</si>
  <si>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</si>
  <si>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</si>
  <si>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</si>
  <si>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</si>
  <si>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</si>
  <si>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</si>
  <si>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</si>
  <si>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</si>
  <si>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</si>
  <si>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</si>
  <si>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</si>
  <si>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</si>
  <si>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</si>
  <si>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</si>
  <si>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</si>
  <si>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</si>
  <si>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</si>
  <si>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</si>
  <si>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</si>
  <si>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</si>
  <si>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</si>
  <si>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</si>
  <si>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</si>
  <si>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</si>
  <si>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</si>
  <si>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</si>
  <si>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</si>
  <si>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</si>
  <si>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</si>
  <si>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</si>
  <si>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</si>
  <si>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</si>
  <si>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</si>
  <si>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</si>
  <si>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</si>
  <si>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</si>
  <si>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</si>
  <si>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</si>
  <si>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</si>
  <si>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</si>
  <si>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</si>
  <si>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</si>
  <si>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</si>
  <si>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</si>
  <si>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</si>
  <si>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</si>
  <si>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</si>
  <si>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</si>
  <si>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</si>
  <si>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</si>
  <si>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</si>
  <si>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</si>
  <si>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</si>
  <si>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</si>
  <si>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</si>
  <si>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</si>
  <si>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</si>
  <si>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</si>
  <si>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</si>
  <si>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</si>
  <si>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</si>
  <si>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</si>
  <si>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</si>
  <si>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</si>
  <si>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</si>
  <si>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</si>
  <si>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</si>
  <si>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</si>
  <si>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</si>
  <si>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</si>
  <si>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</si>
  <si>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</si>
  <si>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</si>
  <si>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</si>
  <si>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</si>
  <si>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</si>
  <si>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</si>
  <si>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</si>
  <si>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</si>
  <si>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</si>
  <si>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</si>
  <si>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</si>
  <si>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</si>
  <si>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</si>
  <si>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</si>
  <si>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</si>
  <si>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</si>
  <si>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</si>
  <si>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</si>
  <si>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</si>
  <si>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</si>
  <si>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</si>
  <si>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</si>
  <si>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</si>
  <si>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</si>
  <si>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</si>
  <si>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</si>
  <si>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</si>
  <si>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</si>
  <si>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</si>
  <si>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</si>
  <si>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</si>
  <si>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</si>
  <si>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</si>
  <si>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</si>
  <si>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</si>
  <si>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</si>
  <si>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</si>
  <si>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</si>
  <si>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</si>
  <si>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</si>
  <si>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</si>
  <si>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</si>
  <si>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</si>
  <si>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</si>
  <si>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</si>
  <si>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</si>
  <si>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</si>
  <si>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</si>
  <si>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</si>
  <si>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</si>
  <si>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</si>
  <si>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</si>
  <si>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</si>
  <si>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</si>
  <si>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</si>
  <si>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</si>
  <si>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</si>
  <si>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</si>
  <si>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</si>
  <si>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</si>
  <si>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</si>
  <si>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</si>
  <si>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</si>
  <si>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</si>
  <si>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</si>
  <si>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</si>
  <si>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</si>
  <si>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</si>
  <si>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</si>
  <si>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</si>
  <si>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</si>
  <si>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</si>
  <si>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</si>
  <si>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</si>
  <si>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</si>
  <si>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</si>
  <si>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</si>
  <si>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</si>
  <si>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</si>
  <si>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</si>
  <si>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</si>
  <si>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</si>
  <si>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</si>
  <si>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</si>
  <si>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</si>
  <si>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</si>
  <si>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</si>
  <si>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</si>
  <si>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</si>
  <si>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</si>
  <si>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</si>
  <si>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</si>
  <si>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</si>
  <si>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</si>
  <si>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</si>
  <si>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</si>
  <si>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</si>
  <si>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</si>
  <si>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</si>
  <si>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</si>
  <si>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</si>
  <si>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</si>
  <si>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</si>
  <si>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</si>
  <si>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</si>
  <si>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</si>
  <si>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</si>
  <si>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</si>
  <si>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</si>
  <si>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</si>
  <si>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</si>
  <si>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</si>
  <si>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</si>
  <si>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</si>
  <si>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</si>
  <si>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</si>
  <si>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</si>
  <si>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</si>
  <si>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</si>
  <si>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</si>
  <si>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</si>
  <si>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</si>
  <si>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</si>
  <si>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</si>
  <si>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</si>
  <si>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</si>
  <si>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</si>
  <si>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</si>
  <si>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</si>
  <si>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</si>
  <si>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</si>
  <si>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</si>
  <si>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</si>
  <si>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</si>
  <si>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</si>
  <si>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</si>
  <si>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</si>
  <si>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</si>
  <si>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</si>
  <si>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</si>
  <si>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</si>
  <si>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</si>
  <si>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</si>
  <si>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</si>
  <si>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</si>
  <si>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</si>
  <si>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</si>
  <si>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</si>
  <si>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</si>
  <si>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</si>
  <si>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</si>
  <si>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</si>
  <si>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</si>
  <si>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</si>
  <si>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</si>
  <si>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</si>
  <si>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</si>
  <si>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</si>
  <si>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</si>
  <si>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</si>
  <si>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</si>
  <si>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</si>
  <si>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</si>
  <si>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</si>
  <si>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</si>
  <si>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</si>
  <si>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</si>
  <si>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</si>
  <si>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</si>
  <si>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</si>
  <si>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</si>
  <si>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</si>
  <si>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</si>
  <si>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</si>
  <si>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</si>
  <si>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</si>
  <si>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</si>
  <si>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</si>
  <si>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</si>
  <si>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</si>
  <si>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</si>
  <si>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</si>
  <si>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</si>
  <si>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</si>
  <si>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</si>
  <si>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</si>
  <si>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</si>
  <si>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</si>
  <si>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</si>
  <si>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</si>
  <si>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</si>
  <si>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</si>
  <si>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</si>
  <si>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</si>
  <si>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</si>
  <si>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</si>
  <si>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</si>
  <si>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</si>
  <si>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</si>
  <si>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</si>
  <si>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</si>
  <si>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</si>
  <si>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</si>
  <si>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</si>
  <si>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</si>
  <si>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</si>
  <si>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</si>
  <si>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</si>
  <si>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</si>
  <si>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</si>
  <si>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</si>
  <si>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</si>
  <si>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</si>
  <si>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</si>
  <si>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</si>
  <si>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</si>
  <si>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</si>
  <si>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</si>
  <si>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</si>
  <si>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</si>
  <si>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</si>
  <si>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</si>
  <si>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</si>
  <si>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</si>
  <si>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</si>
  <si>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</si>
  <si>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</si>
  <si>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</si>
  <si>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</si>
  <si>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</si>
  <si>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</si>
  <si>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</si>
  <si>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</si>
  <si>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</si>
  <si>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</si>
  <si>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</si>
  <si>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</si>
  <si>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</si>
  <si>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</si>
  <si>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</si>
  <si>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</si>
  <si>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</si>
  <si>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</si>
  <si>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</si>
  <si>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</si>
  <si>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</si>
  <si>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</si>
  <si>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</si>
  <si>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</si>
  <si>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</si>
  <si>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</si>
  <si>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</si>
  <si>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</si>
  <si>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</si>
  <si>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</si>
  <si>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</si>
  <si>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</si>
  <si>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</si>
  <si>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</si>
  <si>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</si>
  <si>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</si>
  <si>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</si>
  <si>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</si>
  <si>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</si>
  <si>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</si>
  <si>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</si>
  <si>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</si>
  <si>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</si>
  <si>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</si>
  <si>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</si>
  <si>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</si>
  <si>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</si>
  <si>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</si>
  <si>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</si>
  <si>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</si>
  <si>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</si>
  <si>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</si>
  <si>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</si>
  <si>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</si>
  <si>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</si>
  <si>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</si>
  <si>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</si>
  <si>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</si>
  <si>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</si>
  <si>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</si>
  <si>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</si>
  <si>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</si>
  <si>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</si>
  <si>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</si>
  <si>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</si>
  <si>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</si>
  <si>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</si>
  <si>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</si>
  <si>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</si>
  <si>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</si>
  <si>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</si>
  <si>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</si>
  <si>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</si>
  <si>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</si>
  <si>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</si>
  <si>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</si>
  <si>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</si>
  <si>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</si>
  <si>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</si>
  <si>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</si>
  <si>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</si>
  <si>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</si>
  <si>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</si>
  <si>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</si>
  <si>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</si>
  <si>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</si>
  <si>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</si>
  <si>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</si>
  <si>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</si>
  <si>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</si>
  <si>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</si>
  <si>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</si>
  <si>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</si>
  <si>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</si>
  <si>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</si>
  <si>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</si>
  <si>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</si>
  <si>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</si>
  <si>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</si>
  <si>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</si>
  <si>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</si>
  <si>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</si>
  <si>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</si>
  <si>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</si>
  <si>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</si>
  <si>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</si>
  <si>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</si>
  <si>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</si>
  <si>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</si>
  <si>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</si>
  <si>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</si>
  <si>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</si>
  <si>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</si>
  <si>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</si>
  <si>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</si>
  <si>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</si>
  <si>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</si>
  <si>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</si>
  <si>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</si>
  <si>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</si>
  <si>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</si>
  <si>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</si>
  <si>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</si>
  <si>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</si>
  <si>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</si>
  <si>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</si>
  <si>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</si>
  <si>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</si>
  <si>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</si>
  <si>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</si>
  <si>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</si>
  <si>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</si>
  <si>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</si>
  <si>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</si>
  <si>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</si>
  <si>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</si>
  <si>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</si>
  <si>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</si>
  <si>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</si>
  <si>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</si>
  <si>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</si>
  <si>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</si>
  <si>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</si>
  <si>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</si>
  <si>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</si>
  <si>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</si>
  <si>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</si>
  <si>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</si>
  <si>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</si>
  <si>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</si>
  <si>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</si>
  <si>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</si>
  <si>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</si>
  <si>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</si>
  <si>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</si>
  <si>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</si>
  <si>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</si>
  <si>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</si>
  <si>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</si>
  <si>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</si>
  <si>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</si>
  <si>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</si>
  <si>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</si>
  <si>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</si>
  <si>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</si>
  <si>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</si>
  <si>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</si>
  <si>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</si>
  <si>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</si>
  <si>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</si>
  <si>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</si>
  <si>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</si>
  <si>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</si>
  <si>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</si>
  <si>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</si>
  <si>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</si>
  <si>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</si>
  <si>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</si>
  <si>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</si>
  <si>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</si>
  <si>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</si>
  <si>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</si>
  <si>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</si>
  <si>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</si>
  <si>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</si>
  <si>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</si>
  <si>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</si>
  <si>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</si>
  <si>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</si>
  <si>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</si>
  <si>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</si>
  <si>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</si>
  <si>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</si>
  <si>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</si>
  <si>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</si>
  <si>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</si>
  <si>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</si>
  <si>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</si>
  <si>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</si>
  <si>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</si>
  <si>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</si>
  <si>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</si>
  <si>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</si>
  <si>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</si>
  <si>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</si>
  <si>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</si>
  <si>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</si>
  <si>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</si>
  <si>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</si>
  <si>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</si>
  <si>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</si>
  <si>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</si>
  <si>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</si>
  <si>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</si>
  <si>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</si>
  <si>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</si>
  <si>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</si>
  <si>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</si>
  <si>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</si>
  <si>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</si>
  <si>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</si>
  <si>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</si>
  <si>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</si>
  <si>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</si>
  <si>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</si>
  <si>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</si>
  <si>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</si>
  <si>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</si>
  <si>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</si>
  <si>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</si>
  <si>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</si>
  <si>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</si>
  <si>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</si>
  <si>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</si>
  <si>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</si>
  <si>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</si>
  <si>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</si>
  <si>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</si>
  <si>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</si>
  <si>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</si>
  <si>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</si>
  <si>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</si>
  <si>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</si>
  <si>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</si>
  <si>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</si>
  <si>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</si>
  <si>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</si>
  <si>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</si>
  <si>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</si>
  <si>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</si>
  <si>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</si>
  <si>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</si>
  <si>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</si>
  <si>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</si>
  <si>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</si>
  <si>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</si>
  <si>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</si>
  <si>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</si>
  <si>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</si>
  <si>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</si>
  <si>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</si>
  <si>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</si>
  <si>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</si>
  <si>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</si>
  <si>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</si>
  <si>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</si>
  <si>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</si>
  <si>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</si>
  <si>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</si>
  <si>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</si>
  <si>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</si>
  <si>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</si>
  <si>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</si>
  <si>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</si>
  <si>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</si>
  <si>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</si>
  <si>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</si>
  <si>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</si>
  <si>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</si>
  <si>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</si>
  <si>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</si>
  <si>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</si>
  <si>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</si>
  <si>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</si>
  <si>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</si>
  <si>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</si>
  <si>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</si>
  <si>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</si>
  <si>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</si>
  <si>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</si>
  <si>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</si>
  <si>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</si>
  <si>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</si>
  <si>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</si>
  <si>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</si>
  <si>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</si>
  <si>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</si>
  <si>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</si>
  <si>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</si>
  <si>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</si>
  <si>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</si>
  <si>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</si>
  <si>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</si>
  <si>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</si>
  <si>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</si>
  <si>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</si>
  <si>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</si>
  <si>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</si>
  <si>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</si>
  <si>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</si>
  <si>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</si>
  <si>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</si>
  <si>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</si>
  <si>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</si>
  <si>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</si>
  <si>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</si>
  <si>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</si>
  <si>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</si>
  <si>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</si>
  <si>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</si>
  <si>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</si>
  <si>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</si>
  <si>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</si>
  <si>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</si>
  <si>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</si>
  <si>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</si>
  <si>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</si>
  <si>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</si>
  <si>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</si>
  <si>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</si>
  <si>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</si>
  <si>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</si>
  <si>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</si>
  <si>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</si>
  <si>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</si>
  <si>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</si>
  <si>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</si>
  <si>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</si>
  <si>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</si>
  <si>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</si>
  <si>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</si>
  <si>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</si>
  <si>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</si>
  <si>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</si>
  <si>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</si>
  <si>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</si>
  <si>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</si>
  <si>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</si>
  <si>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</si>
  <si>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</si>
  <si>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</si>
  <si>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</si>
  <si>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</si>
  <si>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</si>
  <si>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</si>
  <si>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</si>
  <si>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</si>
  <si>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</si>
  <si>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</si>
  <si>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</si>
  <si>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</si>
  <si>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</si>
  <si>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</si>
  <si>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</si>
  <si>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</si>
  <si>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</si>
  <si>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</si>
  <si>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</si>
  <si>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</si>
  <si>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</si>
  <si>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</si>
  <si>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</si>
  <si>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</si>
  <si>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</si>
  <si>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</si>
  <si>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</si>
  <si>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</si>
  <si>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</si>
  <si>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</si>
  <si>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</si>
  <si>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</si>
  <si>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</si>
  <si>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</si>
  <si>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</si>
  <si>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</si>
  <si>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</si>
  <si>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</si>
  <si>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</si>
  <si>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</si>
  <si>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</si>
  <si>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</si>
  <si>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</si>
  <si>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</si>
  <si>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</si>
  <si>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</si>
  <si>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</si>
  <si>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</si>
  <si>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</si>
  <si>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</si>
  <si>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</si>
  <si>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</si>
  <si>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</si>
  <si>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</si>
  <si>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</si>
  <si>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</si>
  <si>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</si>
  <si>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</si>
  <si>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</si>
  <si>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</si>
  <si>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</si>
  <si>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</si>
  <si>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</si>
  <si>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</si>
  <si>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</si>
  <si>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</si>
  <si>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</si>
  <si>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</si>
  <si>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</si>
  <si>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</si>
  <si>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</si>
  <si>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</si>
  <si>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</si>
  <si>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</si>
  <si>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</si>
  <si>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</si>
  <si>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</si>
  <si>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</si>
  <si>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</si>
  <si>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</si>
  <si>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</si>
  <si>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</si>
  <si>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</si>
  <si>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</si>
  <si>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</si>
  <si>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</si>
  <si>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</si>
  <si>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</si>
  <si>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</si>
  <si>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</si>
  <si>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</si>
  <si>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</si>
  <si>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</si>
  <si>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</si>
  <si>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</si>
  <si>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</si>
  <si>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</si>
  <si>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</si>
  <si>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</si>
  <si>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</si>
  <si>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</si>
  <si>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</si>
  <si>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</si>
  <si>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</si>
  <si>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</si>
  <si>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</si>
  <si>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</si>
  <si>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</si>
  <si>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</si>
  <si>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</si>
  <si>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</si>
  <si>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</si>
  <si>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</si>
  <si>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</si>
  <si>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</si>
  <si>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</si>
  <si>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</si>
  <si>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</si>
  <si>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</si>
  <si>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</si>
  <si>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</si>
  <si>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</si>
  <si>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</si>
  <si>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</si>
  <si>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</si>
  <si>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</si>
  <si>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</si>
  <si>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</si>
  <si>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</si>
  <si>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</si>
  <si>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</si>
  <si>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</si>
  <si>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</si>
  <si>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</si>
  <si>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</si>
  <si>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</si>
  <si>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</si>
  <si>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</si>
  <si>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</si>
  <si>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</si>
  <si>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</si>
  <si>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</si>
  <si>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</si>
  <si>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</si>
  <si>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</si>
  <si>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</si>
  <si>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</si>
  <si>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</si>
  <si>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</si>
  <si>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</si>
  <si>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</si>
  <si>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</si>
  <si>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</si>
  <si>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</si>
  <si>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</si>
  <si>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</si>
  <si>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</si>
  <si>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</si>
  <si>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</si>
  <si>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</si>
  <si>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</si>
  <si>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</si>
  <si>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</si>
  <si>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</si>
  <si>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</si>
  <si>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</si>
  <si>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</si>
  <si>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</si>
  <si>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</si>
  <si>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</si>
  <si>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</si>
  <si>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</si>
  <si>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</si>
  <si>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</si>
  <si>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</si>
  <si>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</si>
  <si>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</si>
  <si>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</si>
  <si>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</si>
  <si>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</si>
  <si>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</si>
  <si>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</si>
  <si>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</si>
  <si>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</si>
  <si>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</si>
  <si>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</si>
  <si>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</si>
  <si>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</si>
  <si>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</si>
  <si>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</si>
  <si>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</si>
  <si>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</si>
  <si>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</si>
  <si>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</si>
  <si>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</si>
  <si>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</si>
  <si>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</si>
  <si>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</si>
  <si>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</si>
  <si>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</si>
  <si>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</si>
  <si>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</si>
  <si>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</si>
  <si>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</si>
  <si>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</si>
  <si>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</si>
  <si>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</si>
  <si>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</si>
  <si>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</si>
  <si>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</si>
  <si>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</si>
  <si>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</si>
  <si>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</si>
  <si>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</si>
  <si>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</si>
  <si>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</si>
  <si>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</si>
  <si>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</si>
  <si>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</si>
  <si>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</si>
  <si>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</si>
  <si>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</si>
  <si>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</si>
  <si>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</si>
  <si>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</si>
  <si>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</si>
  <si>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</si>
  <si>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</si>
  <si>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</si>
  <si>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</si>
  <si>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</si>
  <si>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</si>
  <si>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</si>
  <si>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</si>
  <si>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</si>
  <si>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</si>
  <si>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</si>
  <si>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</si>
  <si>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</si>
  <si>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</si>
  <si>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</si>
  <si>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</si>
  <si>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</si>
  <si>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</si>
  <si>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</si>
  <si>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</si>
  <si>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</si>
  <si>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</si>
  <si>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</si>
  <si>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</si>
  <si>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</si>
  <si>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</si>
  <si>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</si>
  <si>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</si>
  <si>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</si>
  <si>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</si>
  <si>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</si>
  <si>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</si>
  <si>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</si>
  <si>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</si>
  <si>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</si>
  <si>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</si>
  <si>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</si>
  <si>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</si>
  <si>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</si>
  <si>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</si>
  <si>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</si>
  <si>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</si>
  <si>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</si>
  <si>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</si>
  <si>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</si>
  <si>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</si>
  <si>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</si>
  <si>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</si>
  <si>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</si>
  <si>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</si>
  <si>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</si>
  <si>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</si>
  <si>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</si>
  <si>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</si>
  <si>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</si>
  <si>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</si>
  <si>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</si>
  <si>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</si>
  <si>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</si>
  <si>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</si>
  <si>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</si>
  <si>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</si>
  <si>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</si>
  <si>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</si>
  <si>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</si>
  <si>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</si>
  <si>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</si>
  <si>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</si>
  <si>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</si>
  <si>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</si>
  <si>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</si>
  <si>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</si>
  <si>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</si>
  <si>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</si>
  <si>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</si>
  <si>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</si>
  <si>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</si>
  <si>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</si>
  <si>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</si>
  <si>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</si>
  <si>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</si>
  <si>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</si>
  <si>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</si>
  <si>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</si>
  <si>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</si>
  <si>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</si>
  <si>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</si>
  <si>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</si>
  <si>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</si>
  <si>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</si>
  <si>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</si>
  <si>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</si>
  <si>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</si>
  <si>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</si>
  <si>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</si>
  <si>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</si>
  <si>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</si>
  <si>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</si>
  <si>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</si>
  <si>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</si>
  <si>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</si>
  <si>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</si>
  <si>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</si>
  <si>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</si>
  <si>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</si>
  <si>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</si>
  <si>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</si>
  <si>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</si>
  <si>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</si>
  <si>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</si>
  <si>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</si>
  <si>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</si>
  <si>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</si>
  <si>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</si>
  <si>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</si>
  <si>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</si>
  <si>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</si>
  <si>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</si>
  <si>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</si>
  <si>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</si>
  <si>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</si>
  <si>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</si>
  <si>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</si>
  <si>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</si>
  <si>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</si>
  <si>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</si>
  <si>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</si>
  <si>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</si>
  <si>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</si>
  <si>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</si>
  <si>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</si>
  <si>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</si>
  <si>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</si>
  <si>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</si>
  <si>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</si>
  <si>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</si>
  <si>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</si>
  <si>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</si>
  <si>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</si>
  <si>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</si>
  <si>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</si>
  <si>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</si>
  <si>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</si>
  <si>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</si>
  <si>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</si>
  <si>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</si>
  <si>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</si>
  <si>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</si>
  <si>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</si>
  <si>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</si>
  <si>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</si>
  <si>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</si>
  <si>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</si>
  <si>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</si>
  <si>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</si>
  <si>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</si>
  <si>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</si>
  <si>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</si>
  <si>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</si>
  <si>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</si>
  <si>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</si>
  <si>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</si>
  <si>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</si>
  <si>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</si>
  <si>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</si>
  <si>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</si>
  <si>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</si>
  <si>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</si>
  <si>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</si>
  <si>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</si>
  <si>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</si>
  <si>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</si>
  <si>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</si>
  <si>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</si>
  <si>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</si>
  <si>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</si>
  <si>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</si>
  <si>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</si>
  <si>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</si>
  <si>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</si>
  <si>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</si>
  <si>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</si>
  <si>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</si>
  <si>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</si>
  <si>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</si>
  <si>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</si>
  <si>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</si>
  <si>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</si>
  <si>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</si>
  <si>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</si>
  <si>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</si>
  <si>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</si>
  <si>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</si>
  <si>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</si>
  <si>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</si>
  <si>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</si>
  <si>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</si>
  <si>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</si>
  <si>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</si>
  <si>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</si>
  <si>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</si>
  <si>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</si>
  <si>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</si>
  <si>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</si>
  <si>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</si>
  <si>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</si>
  <si>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</si>
  <si>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</si>
  <si>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</si>
  <si>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</si>
  <si>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</si>
  <si>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</si>
  <si>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</si>
  <si>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</si>
  <si>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</si>
  <si>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</si>
  <si>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</si>
  <si>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</si>
  <si>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</si>
  <si>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</si>
  <si>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</si>
  <si>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</si>
  <si>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</si>
  <si>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</si>
  <si>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</si>
  <si>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</si>
  <si>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</si>
  <si>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</si>
  <si>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</si>
  <si>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</si>
  <si>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</si>
  <si>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</si>
  <si>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</si>
  <si>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</si>
  <si>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</si>
  <si>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</si>
  <si>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</si>
  <si>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</si>
  <si>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</si>
  <si>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</si>
  <si>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</si>
  <si>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</si>
  <si>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</si>
  <si>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</si>
  <si>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</si>
  <si>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</si>
  <si>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</si>
  <si>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</si>
  <si>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</si>
  <si>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</si>
  <si>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</si>
  <si>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</si>
  <si>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</si>
  <si>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</si>
  <si>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</si>
  <si>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</si>
  <si>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</si>
  <si>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</si>
  <si>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</si>
  <si>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</si>
  <si>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</si>
  <si>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</si>
  <si>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</si>
  <si>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</si>
  <si>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</si>
  <si>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</si>
  <si>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</si>
  <si>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</si>
  <si>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</si>
  <si>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</si>
  <si>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</si>
  <si>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</si>
  <si>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</si>
  <si>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</si>
  <si>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</si>
  <si>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</si>
  <si>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</si>
  <si>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</si>
  <si>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</si>
  <si>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</si>
  <si>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</si>
  <si>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</si>
  <si>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</si>
  <si>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</si>
  <si>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</si>
  <si>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</si>
  <si>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</si>
  <si>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</si>
  <si>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</si>
  <si>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</si>
  <si>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</si>
  <si>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</si>
  <si>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</si>
  <si>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</si>
  <si>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</si>
  <si>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</si>
  <si>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</si>
  <si>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</si>
  <si>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</si>
  <si>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</si>
  <si>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</si>
  <si>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</si>
  <si>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</si>
  <si>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</si>
  <si>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</si>
  <si>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</si>
  <si>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</si>
  <si>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</si>
  <si>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</si>
  <si>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</si>
  <si>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</si>
  <si>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</si>
  <si>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</si>
  <si>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</si>
  <si>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</si>
  <si>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</si>
  <si>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</si>
  <si>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</si>
  <si>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</si>
  <si>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</si>
  <si>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</si>
  <si>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</si>
  <si>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</si>
  <si>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</si>
  <si>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</si>
  <si>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</si>
  <si>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</si>
  <si>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</si>
  <si>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</si>
  <si>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</si>
  <si>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</si>
  <si>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</si>
  <si>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</si>
  <si>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</si>
  <si>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</si>
  <si>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</si>
  <si>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</si>
  <si>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</si>
  <si>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</si>
  <si>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</si>
  <si>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</si>
  <si>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</si>
  <si>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</si>
  <si>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</si>
  <si>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</si>
  <si>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</si>
  <si>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</si>
  <si>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</si>
  <si>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</si>
  <si>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</si>
  <si>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</si>
  <si>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</si>
  <si>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</si>
  <si>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</si>
  <si>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</si>
  <si>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</si>
  <si>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</si>
  <si>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</si>
  <si>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</si>
  <si>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</si>
  <si>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</si>
  <si>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</si>
  <si>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</si>
  <si>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</si>
  <si>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</si>
  <si>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</si>
  <si>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</si>
  <si>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</si>
  <si>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</si>
  <si>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</si>
  <si>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</si>
  <si>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</si>
  <si>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</si>
  <si>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</si>
  <si>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</si>
  <si>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</si>
  <si>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</si>
  <si>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</si>
  <si>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</si>
  <si>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</si>
  <si>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</si>
  <si>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</si>
  <si>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</si>
  <si>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</si>
  <si>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</si>
  <si>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</si>
  <si>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</si>
  <si>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</si>
  <si>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</si>
  <si>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</si>
  <si>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</si>
  <si>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</si>
  <si>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</si>
  <si>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</si>
  <si>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</si>
  <si>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</si>
  <si>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</si>
  <si>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</si>
  <si>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</si>
  <si>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</si>
  <si>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</si>
  <si>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</si>
  <si>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</si>
  <si>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</si>
  <si>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</si>
  <si>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</si>
  <si>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</si>
  <si>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</si>
  <si>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</si>
  <si>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</si>
  <si>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</si>
  <si>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</si>
  <si>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</si>
  <si>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</si>
  <si>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</si>
  <si>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</si>
  <si>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</si>
  <si>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</si>
  <si>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</si>
  <si>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</si>
  <si>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</si>
  <si>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</si>
  <si>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</si>
  <si>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</si>
  <si>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</si>
  <si>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</si>
  <si>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</si>
  <si>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</si>
  <si>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</si>
  <si>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</si>
  <si>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</si>
  <si>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</si>
  <si>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</si>
  <si>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</si>
  <si>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</si>
  <si>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</si>
  <si>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</si>
  <si>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</si>
  <si>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</si>
  <si>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</si>
  <si>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</si>
  <si>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</si>
  <si>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</si>
  <si>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</si>
  <si>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</si>
  <si>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</si>
  <si>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</si>
  <si>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</si>
  <si>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</si>
  <si>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</si>
  <si>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</si>
  <si>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</si>
  <si>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</si>
  <si>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</si>
  <si>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</si>
  <si>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</si>
  <si>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</si>
  <si>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</si>
  <si>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</si>
  <si>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</si>
  <si>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</si>
  <si>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</si>
  <si>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</si>
  <si>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</si>
  <si>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</si>
  <si>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</si>
  <si>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</si>
  <si>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</si>
  <si>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</si>
  <si>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</si>
  <si>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</si>
  <si>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</si>
  <si>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</si>
  <si>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</si>
  <si>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</si>
  <si>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</si>
  <si>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</si>
  <si>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</si>
  <si>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</si>
  <si>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</si>
  <si>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</si>
  <si>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</si>
  <si>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</si>
  <si>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</si>
  <si>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</si>
  <si>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</si>
  <si>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</si>
  <si>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</si>
  <si>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</si>
  <si>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</si>
  <si>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</si>
  <si>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</si>
  <si>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</si>
  <si>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</si>
  <si>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</si>
  <si>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</si>
  <si>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</si>
  <si>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</si>
  <si>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</si>
  <si>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</si>
  <si>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</si>
  <si>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</si>
  <si>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</si>
  <si>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</si>
  <si>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</si>
  <si>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</si>
  <si>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</si>
  <si>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</si>
  <si>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</si>
  <si>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</si>
  <si>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</si>
  <si>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</si>
  <si>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</si>
  <si>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</si>
  <si>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</si>
  <si>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</si>
  <si>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</si>
  <si>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</si>
  <si>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</si>
  <si>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</si>
  <si>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</si>
  <si>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</si>
  <si>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</si>
  <si>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</si>
  <si>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</si>
  <si>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</si>
  <si>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</si>
  <si>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</si>
  <si>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</si>
  <si>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</si>
  <si>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</si>
  <si>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</si>
  <si>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</si>
  <si>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</si>
  <si>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</si>
  <si>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</si>
  <si>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</si>
  <si>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</si>
  <si>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</si>
  <si>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</si>
  <si>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</si>
  <si>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</si>
  <si>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</si>
  <si>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</si>
  <si>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</si>
  <si>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</si>
  <si>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</si>
  <si>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</si>
  <si>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</si>
  <si>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</si>
  <si>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</si>
  <si>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</si>
  <si>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</si>
  <si>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</si>
  <si>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</si>
  <si>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</si>
  <si>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</si>
  <si>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</si>
  <si>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</si>
  <si>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</si>
  <si>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</si>
  <si>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</si>
  <si>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</si>
  <si>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</si>
  <si>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</si>
  <si>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</si>
  <si>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</si>
  <si>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</si>
  <si>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</si>
  <si>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</si>
  <si>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</si>
  <si>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</si>
  <si>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</si>
  <si>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</si>
  <si>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</si>
  <si>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</si>
  <si>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</si>
  <si>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</si>
  <si>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</si>
  <si>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</si>
  <si>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</si>
  <si>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</si>
  <si>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</si>
  <si>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</si>
  <si>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</si>
  <si>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</si>
  <si>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</si>
  <si>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</si>
  <si>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</si>
  <si>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</si>
  <si>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</si>
  <si>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</si>
  <si>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</si>
  <si>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</si>
  <si>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</si>
  <si>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</si>
  <si>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</si>
  <si>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</si>
  <si>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</si>
  <si>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</si>
  <si>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</si>
  <si>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</si>
  <si>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</si>
  <si>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</si>
  <si>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</si>
  <si>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</si>
  <si>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</si>
  <si>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</si>
  <si>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</si>
  <si>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</si>
  <si>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</si>
  <si>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</si>
  <si>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</si>
  <si>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</si>
  <si>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</si>
  <si>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</si>
  <si>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</si>
  <si>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</si>
  <si>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</si>
  <si>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</si>
  <si>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</si>
  <si>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</si>
  <si>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</si>
  <si>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</si>
  <si>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</si>
  <si>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</si>
  <si>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</si>
  <si>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</si>
  <si>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</si>
  <si>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</si>
  <si>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</si>
  <si>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</si>
  <si>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</si>
  <si>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</si>
  <si>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</si>
  <si>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</si>
  <si>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</si>
  <si>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</si>
  <si>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</si>
  <si>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</si>
  <si>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</si>
  <si>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</si>
  <si>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</si>
  <si>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</si>
  <si>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</si>
  <si>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</si>
  <si>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</si>
  <si>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</si>
  <si>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</si>
  <si>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</si>
  <si>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</si>
  <si>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</si>
  <si>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</si>
  <si>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</si>
  <si>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</si>
  <si>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</si>
  <si>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</si>
  <si>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</si>
  <si>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</si>
  <si>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</si>
  <si>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</si>
  <si>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</si>
  <si>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</si>
  <si>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</si>
  <si>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</si>
  <si>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</si>
  <si>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</si>
  <si>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</si>
  <si>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</si>
  <si>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</si>
  <si>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</si>
  <si>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</si>
  <si>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</si>
  <si>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</si>
  <si>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</si>
  <si>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</si>
  <si>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</si>
  <si>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</si>
  <si>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</si>
  <si>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</si>
  <si>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</si>
  <si>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</si>
  <si>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</si>
  <si>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</si>
  <si>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</si>
  <si>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</si>
  <si>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</si>
  <si>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</si>
  <si>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</si>
  <si>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</si>
  <si>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</si>
  <si>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</si>
  <si>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</si>
  <si>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</si>
  <si>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</si>
  <si>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</si>
  <si>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</si>
  <si>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</si>
  <si>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</si>
  <si>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</si>
  <si>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</si>
  <si>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</si>
  <si>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</si>
  <si>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</si>
  <si>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</si>
  <si>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</si>
  <si>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</si>
  <si>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</si>
  <si>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</si>
  <si>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</si>
  <si>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</si>
  <si>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</si>
  <si>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</si>
  <si>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</si>
  <si>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</si>
  <si>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</si>
  <si>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</si>
  <si>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</si>
  <si>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</si>
  <si>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</si>
  <si>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</si>
  <si>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</si>
  <si>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</si>
  <si>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</si>
  <si>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</si>
  <si>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</si>
  <si>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</si>
  <si>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</si>
  <si>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</si>
  <si>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</si>
  <si>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</si>
  <si>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</si>
  <si>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</si>
  <si>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</si>
  <si>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</si>
  <si>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</si>
  <si>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</si>
  <si>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</si>
  <si>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</si>
  <si>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</si>
  <si>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</si>
  <si>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</si>
  <si>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</si>
  <si>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</si>
  <si>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</si>
  <si>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</si>
  <si>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</si>
  <si>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</si>
  <si>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</si>
  <si>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</si>
  <si>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</si>
  <si>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</si>
  <si>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</si>
  <si>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</si>
  <si>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</si>
  <si>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</si>
  <si>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</si>
  <si>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</si>
  <si>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</si>
  <si>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</si>
  <si>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</si>
  <si>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</si>
  <si>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</si>
  <si>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</si>
  <si>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</si>
  <si>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</si>
  <si>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</si>
  <si>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</si>
  <si>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</si>
  <si>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</si>
  <si>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</si>
  <si>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</si>
  <si>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</si>
  <si>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</si>
  <si>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</si>
  <si>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</si>
  <si>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</si>
  <si>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</si>
  <si>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</si>
  <si>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</si>
  <si>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</si>
  <si>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</si>
  <si>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</si>
  <si>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</si>
  <si>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</si>
  <si>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</si>
  <si>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</si>
  <si>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</si>
  <si>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</si>
  <si>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</si>
  <si>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</si>
  <si>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</si>
  <si>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</si>
  <si>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</si>
  <si>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</si>
  <si>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</si>
  <si>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</si>
  <si>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</si>
  <si>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</si>
  <si>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</si>
  <si>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</si>
  <si>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</si>
  <si>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</si>
  <si>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</si>
  <si>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</si>
  <si>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</si>
  <si>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</si>
  <si>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</si>
  <si>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</si>
  <si>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</si>
  <si>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</si>
  <si>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</si>
  <si>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</si>
  <si>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</si>
  <si>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</si>
  <si>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</si>
  <si>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</si>
  <si>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</si>
  <si>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</si>
  <si>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</si>
  <si>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</si>
  <si>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</si>
  <si>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</si>
  <si>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</si>
  <si>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</si>
  <si>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</si>
  <si>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</si>
  <si>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</si>
  <si>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</si>
  <si>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</si>
  <si>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</si>
  <si>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</si>
  <si>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</si>
  <si>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</si>
  <si>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</si>
  <si>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</si>
  <si>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</si>
  <si>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</si>
  <si>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</si>
  <si>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</si>
  <si>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</si>
  <si>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</si>
  <si>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</si>
  <si>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</si>
  <si>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</si>
  <si>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</si>
  <si>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</si>
  <si>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</si>
  <si>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</si>
  <si>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</si>
  <si>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</si>
  <si>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</si>
  <si>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</si>
  <si>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</si>
  <si>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</si>
  <si>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</si>
  <si>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</si>
  <si>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</si>
  <si>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</si>
  <si>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</si>
  <si>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</si>
  <si>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</si>
  <si>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</si>
  <si>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</si>
  <si>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</si>
  <si>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</si>
  <si>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</si>
  <si>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</si>
  <si>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</si>
  <si>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</si>
  <si>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</si>
  <si>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</si>
  <si>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</si>
  <si>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</si>
  <si>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</si>
  <si>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</si>
  <si>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</si>
  <si>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</si>
  <si>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</si>
  <si>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</si>
  <si>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</si>
  <si>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</si>
  <si>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</si>
  <si>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</si>
  <si>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</si>
  <si>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</si>
  <si>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</si>
  <si>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</si>
  <si>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</si>
  <si>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</si>
  <si>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</si>
  <si>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</si>
  <si>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</si>
  <si>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</si>
  <si>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</si>
  <si>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</si>
  <si>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</si>
  <si>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</si>
  <si>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</si>
  <si>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</si>
  <si>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</si>
  <si>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</si>
  <si>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</si>
  <si>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</si>
  <si>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</si>
  <si>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</si>
  <si>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</si>
  <si>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</si>
  <si>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</si>
  <si>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</si>
  <si>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</si>
  <si>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</si>
  <si>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</si>
  <si>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</si>
  <si>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</si>
  <si>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</si>
  <si>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</si>
  <si>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</si>
  <si>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</si>
  <si>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</si>
  <si>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</si>
  <si>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</si>
  <si>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</si>
  <si>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</si>
  <si>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</si>
  <si>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</si>
  <si>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</si>
  <si>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</si>
  <si>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</si>
  <si>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</si>
  <si>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</si>
  <si>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</si>
  <si>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</si>
  <si>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</si>
  <si>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</si>
  <si>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</si>
  <si>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</si>
  <si>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</si>
  <si>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</si>
  <si>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</si>
  <si>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</si>
  <si>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</si>
  <si>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</si>
  <si>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</si>
  <si>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</si>
  <si>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</si>
  <si>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</si>
  <si>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</si>
  <si>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</si>
  <si>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</si>
  <si>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</si>
  <si>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</si>
  <si>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</si>
  <si>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</si>
  <si>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</si>
  <si>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</si>
  <si>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</si>
  <si>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</si>
  <si>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</si>
  <si>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</si>
  <si>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</si>
  <si>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</si>
  <si>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</si>
  <si>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</si>
  <si>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</si>
  <si>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</si>
  <si>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</si>
  <si>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</si>
  <si>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</si>
  <si>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</si>
  <si>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</si>
  <si>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</si>
  <si>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</si>
  <si>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</si>
  <si>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</si>
  <si>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</si>
  <si>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</si>
  <si>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</si>
  <si>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</si>
  <si>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</si>
  <si>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</si>
  <si>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</si>
  <si>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</si>
  <si>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</si>
  <si>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</si>
  <si>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</si>
  <si>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</si>
  <si>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</si>
  <si>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</si>
  <si>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</si>
  <si>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</si>
  <si>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</si>
  <si>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</si>
  <si>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</si>
  <si>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</si>
  <si>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</si>
  <si>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</si>
  <si>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</si>
  <si>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</si>
  <si>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</si>
  <si>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</si>
  <si>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</si>
  <si>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</si>
  <si>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</si>
  <si>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</si>
  <si>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</si>
  <si>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</si>
  <si>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</si>
  <si>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</si>
  <si>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</si>
  <si>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</si>
  <si>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</si>
  <si>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</si>
  <si>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</si>
  <si>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</si>
  <si>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</si>
  <si>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</si>
  <si>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</si>
  <si>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</si>
  <si>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</si>
  <si>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</si>
  <si>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</si>
  <si>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</si>
  <si>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</si>
  <si>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</si>
  <si>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</si>
  <si>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</si>
  <si>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</si>
  <si>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</si>
  <si>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</si>
  <si>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</si>
  <si>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</si>
  <si>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</si>
  <si>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</si>
  <si>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</si>
  <si>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</si>
  <si>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</si>
  <si>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</si>
  <si>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</si>
  <si>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</si>
  <si>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</si>
  <si>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</si>
  <si>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</si>
  <si>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</si>
  <si>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</si>
  <si>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</si>
  <si>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</si>
  <si>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</si>
  <si>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</si>
  <si>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</si>
  <si>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</si>
  <si>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</si>
  <si>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</si>
  <si>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</si>
  <si>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</si>
  <si>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</si>
  <si>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</si>
  <si>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</si>
  <si>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</si>
  <si>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</si>
  <si>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</si>
  <si>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</si>
  <si>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</si>
  <si>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</si>
  <si>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</si>
  <si>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</si>
  <si>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</si>
  <si>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</si>
  <si>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</si>
  <si>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</si>
  <si>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</si>
  <si>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</si>
  <si>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</si>
  <si>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</si>
  <si>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</si>
  <si>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</si>
  <si>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</si>
  <si>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</si>
  <si>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</si>
  <si>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</si>
  <si>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</si>
  <si>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</si>
  <si>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</si>
  <si>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</si>
  <si>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</si>
  <si>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</si>
  <si>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</si>
  <si>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</si>
  <si>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</si>
  <si>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</si>
  <si>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</si>
  <si>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</si>
  <si>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</si>
  <si>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</si>
  <si>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</si>
  <si>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</si>
  <si>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</si>
  <si>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</si>
  <si>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</si>
  <si>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</si>
  <si>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</si>
  <si>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</si>
  <si>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</si>
  <si>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</si>
  <si>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</si>
  <si>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</si>
  <si>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</si>
  <si>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</si>
  <si>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</si>
  <si>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</si>
  <si>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</si>
  <si>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</si>
  <si>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</si>
  <si>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</si>
  <si>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</si>
  <si>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</si>
  <si>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</si>
  <si>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</si>
  <si>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</si>
  <si>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</si>
  <si>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</si>
  <si>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</si>
  <si>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</si>
  <si>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</si>
  <si>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</si>
  <si>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</si>
  <si>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</si>
  <si>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</si>
  <si>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</si>
  <si>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</si>
  <si>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</si>
  <si>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</si>
  <si>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</si>
  <si>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</si>
  <si>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</si>
  <si>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</si>
  <si>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</si>
  <si>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</si>
  <si>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</si>
  <si>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</si>
  <si>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</si>
  <si>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</si>
  <si>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</si>
  <si>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</si>
  <si>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</si>
  <si>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</si>
  <si>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</si>
  <si>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</si>
  <si>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</si>
  <si>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</si>
  <si>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</si>
  <si>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</si>
  <si>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</si>
  <si>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</si>
  <si>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</si>
  <si>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</si>
  <si>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</si>
  <si>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</si>
  <si>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</si>
  <si>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</si>
  <si>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</si>
  <si>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</si>
  <si>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</si>
  <si>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</si>
  <si>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</si>
  <si>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</si>
  <si>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</si>
  <si>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</si>
  <si>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</si>
  <si>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</si>
  <si>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</si>
  <si>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</si>
  <si>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</si>
  <si>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</si>
  <si>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</si>
  <si>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</si>
  <si>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</si>
  <si>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</si>
  <si>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</si>
  <si>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</si>
  <si>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</si>
  <si>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</si>
  <si>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</si>
  <si>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</si>
  <si>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</si>
  <si>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</si>
  <si>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</si>
  <si>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</si>
  <si>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</si>
  <si>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</si>
  <si>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</si>
  <si>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</si>
  <si>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</si>
  <si>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</si>
  <si>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</si>
  <si>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</si>
  <si>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</si>
  <si>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</si>
  <si>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</si>
  <si>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</si>
  <si>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</si>
  <si>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</si>
  <si>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</si>
  <si>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</si>
  <si>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</si>
  <si>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</si>
  <si>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</si>
  <si>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</si>
  <si>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</si>
  <si>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</si>
  <si>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</si>
  <si>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</si>
  <si>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</si>
  <si>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</si>
  <si>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</si>
  <si>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</si>
  <si>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</si>
  <si>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</si>
  <si>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</si>
  <si>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</si>
  <si>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</si>
  <si>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</si>
  <si>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</si>
  <si>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</si>
  <si>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</si>
  <si>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</si>
  <si>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</si>
  <si>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</si>
  <si>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</si>
  <si>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</si>
  <si>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</si>
  <si>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</si>
  <si>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</si>
  <si>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</si>
  <si>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</si>
  <si>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</si>
  <si>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</si>
  <si>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</si>
  <si>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</si>
  <si>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</si>
  <si>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</si>
  <si>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</si>
  <si>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</si>
  <si>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</si>
  <si>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</si>
  <si>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</si>
  <si>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</si>
  <si>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</si>
  <si>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</si>
  <si>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</si>
  <si>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</si>
  <si>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</si>
  <si>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</si>
  <si>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</si>
  <si>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</si>
  <si>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</si>
  <si>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</si>
  <si>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</si>
  <si>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</si>
  <si>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</si>
  <si>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</si>
  <si>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</si>
  <si>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</si>
  <si>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</si>
  <si>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</si>
  <si>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</si>
  <si>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</si>
  <si>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</si>
  <si>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</si>
  <si>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</si>
  <si>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</si>
  <si>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</si>
  <si>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</si>
  <si>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</si>
  <si>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</si>
  <si>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</si>
  <si>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</si>
  <si>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</si>
  <si>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</si>
  <si>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</si>
  <si>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</si>
  <si>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</si>
  <si>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</si>
  <si>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</si>
  <si>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</si>
  <si>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</si>
  <si>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</si>
  <si>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</si>
  <si>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</si>
  <si>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</si>
  <si>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</si>
  <si>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</si>
  <si>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</si>
  <si>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</si>
  <si>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</si>
  <si>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</si>
  <si>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</si>
  <si>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</si>
  <si>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</si>
  <si>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</si>
  <si>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</si>
  <si>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</si>
  <si>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</si>
  <si>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</si>
  <si>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</si>
  <si>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</si>
  <si>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</si>
  <si>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</si>
  <si>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</si>
  <si>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</si>
  <si>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</si>
  <si>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</si>
  <si>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</si>
  <si>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</si>
  <si>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</si>
  <si>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</si>
  <si>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</si>
  <si>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</si>
  <si>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</si>
  <si>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</si>
  <si>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</si>
  <si>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</si>
  <si>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</si>
  <si>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</si>
  <si>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</si>
  <si>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</si>
  <si>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</si>
  <si>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</si>
  <si>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</si>
  <si>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</si>
  <si>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</si>
  <si>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</si>
  <si>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</si>
  <si>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</si>
  <si>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</si>
  <si>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</si>
  <si>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</si>
  <si>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</si>
  <si>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</si>
  <si>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</si>
  <si>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</si>
  <si>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</si>
  <si>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</si>
  <si>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</si>
  <si>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</si>
  <si>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</si>
  <si>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</si>
  <si>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</si>
  <si>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</si>
  <si>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</si>
  <si>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</si>
  <si>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</si>
  <si>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</si>
  <si>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</si>
  <si>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</si>
  <si>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</si>
  <si>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</si>
  <si>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</si>
  <si>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</si>
  <si>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</si>
  <si>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</si>
  <si>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</si>
  <si>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</si>
  <si>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</si>
  <si>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</si>
  <si>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</si>
  <si>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</si>
  <si>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</si>
  <si>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</si>
  <si>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</si>
  <si>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</si>
  <si>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</si>
  <si>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</si>
  <si>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</si>
  <si>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</si>
  <si>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</si>
  <si>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</si>
  <si>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</si>
  <si>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</si>
  <si>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</si>
  <si>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</si>
  <si>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</si>
  <si>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</si>
  <si>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</si>
  <si>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</si>
  <si>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</si>
  <si>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</si>
  <si>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</si>
  <si>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</si>
  <si>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</si>
  <si>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</si>
  <si>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</si>
  <si>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</si>
  <si>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</si>
  <si>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</si>
  <si>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</si>
  <si>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</si>
  <si>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</si>
  <si>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</si>
  <si>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</si>
  <si>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</si>
  <si>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</si>
  <si>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</si>
  <si>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</si>
  <si>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</si>
  <si>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</si>
  <si>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</si>
  <si>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</si>
  <si>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</si>
  <si>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</si>
  <si>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</si>
  <si>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</si>
  <si>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</si>
  <si>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</si>
  <si>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</si>
  <si>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</si>
  <si>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</si>
  <si>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</si>
  <si>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</si>
  <si>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</si>
  <si>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</si>
  <si>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</si>
  <si>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</si>
  <si>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</si>
  <si>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</si>
  <si>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</si>
  <si>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</si>
  <si>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</si>
  <si>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</si>
  <si>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</si>
  <si>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</si>
  <si>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</si>
  <si>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</si>
  <si>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</si>
  <si>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</si>
  <si>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</si>
  <si>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</si>
  <si>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</si>
  <si>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</si>
  <si>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</si>
  <si>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</si>
  <si>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</si>
  <si>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</si>
  <si>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</si>
  <si>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</si>
  <si>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</si>
  <si>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</si>
  <si>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</si>
  <si>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</si>
  <si>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</si>
  <si>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</si>
  <si>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</si>
  <si>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</si>
  <si>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</si>
  <si>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</si>
  <si>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</si>
  <si>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</si>
  <si>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</si>
  <si>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</si>
  <si>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</si>
  <si>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</si>
  <si>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</si>
  <si>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</si>
  <si>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</si>
  <si>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</si>
  <si>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</si>
  <si>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</si>
  <si>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</si>
  <si>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</si>
  <si>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</si>
  <si>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</si>
  <si>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</si>
  <si>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</si>
  <si>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</si>
  <si>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</si>
  <si>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</si>
  <si>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</si>
  <si>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</si>
  <si>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</si>
  <si>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</si>
  <si>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</si>
  <si>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</si>
  <si>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</si>
  <si>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</si>
  <si>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</si>
  <si>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</si>
  <si>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</si>
  <si>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</si>
  <si>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</si>
  <si>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</si>
  <si>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</si>
  <si>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</si>
  <si>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</si>
  <si>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</si>
  <si>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</si>
  <si>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</si>
  <si>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</si>
  <si>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</si>
  <si>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</si>
  <si>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</si>
  <si>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</si>
  <si>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</si>
  <si>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</si>
  <si>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</si>
  <si>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</si>
  <si>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</si>
  <si>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</si>
  <si>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</si>
  <si>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</si>
  <si>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</si>
  <si>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</si>
  <si>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</si>
  <si>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</si>
  <si>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</si>
  <si>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</si>
  <si>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</si>
  <si>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</si>
  <si>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</si>
  <si>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</si>
  <si>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</si>
  <si>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</si>
  <si>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</si>
  <si>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</si>
  <si>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</si>
  <si>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</si>
  <si>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</si>
  <si>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</si>
  <si>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</si>
  <si>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</si>
  <si>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</si>
  <si>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</si>
  <si>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</si>
  <si>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</si>
  <si>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</si>
  <si>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</si>
  <si>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</si>
  <si>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</si>
  <si>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</si>
  <si>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</si>
  <si>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</si>
  <si>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</si>
  <si>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</si>
  <si>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</si>
  <si>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</si>
  <si>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</si>
  <si>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</si>
  <si>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</si>
  <si>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</si>
  <si>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</si>
  <si>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</si>
  <si>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</si>
  <si>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</si>
  <si>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</si>
  <si>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</si>
  <si>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</si>
  <si>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</si>
  <si>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</si>
  <si>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</si>
  <si>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</si>
  <si>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</si>
  <si>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</si>
  <si>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</si>
  <si>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</si>
  <si>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</si>
  <si>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</si>
  <si>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</si>
  <si>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</si>
  <si>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</si>
  <si>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</si>
  <si>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</si>
  <si>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</si>
  <si>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</si>
  <si>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</si>
  <si>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</si>
  <si>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</si>
  <si>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</si>
  <si>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</si>
  <si>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</si>
  <si>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</si>
  <si>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</si>
  <si>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</si>
  <si>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</si>
  <si>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</si>
  <si>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</si>
  <si>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</si>
  <si>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</si>
  <si>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</si>
  <si>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</si>
  <si>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</si>
  <si>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</si>
  <si>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</si>
  <si>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</si>
  <si>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</si>
  <si>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</si>
  <si>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</si>
  <si>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</si>
  <si>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</si>
  <si>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</si>
  <si>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</si>
  <si>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</si>
  <si>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</si>
  <si>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</si>
  <si>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</si>
  <si>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</si>
  <si>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</si>
  <si>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</si>
  <si>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</si>
  <si>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</si>
  <si>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</si>
  <si>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</si>
  <si>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</si>
  <si>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</si>
  <si>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J. Schneider Elektrotechnik GmbH</t>
  </si>
  <si>
    <t>QM</t>
  </si>
  <si>
    <t>Erich Leible</t>
  </si>
  <si>
    <t>e.leible@j-schneider.de</t>
  </si>
  <si>
    <t>+49781206237</t>
  </si>
  <si>
    <t>Quality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</si>
</sst>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e.leible@j-schneider.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e.leible@j-schneider.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5D72E82-B595-484A-8419-F540C699DAD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100EC94-BF55-4358-9DC3-E4DF6700375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442</v>
      </c>
    </row>
    <row r="2" spans="1:2" ht="30">
      <c r="A2" s="105" t="str">
        <f ca="1">OFFSET(L!$C$1,MATCH("Instructions"&amp;ADDRESS(ROW(),COLUMN(),4),L!$A:$A,0)-1,SL,,)</f>
        <v>Einführung</v>
      </c>
      <c r="B2" s="100" t="s">
        <v>1299</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1300</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1306</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1299</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1298</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1299</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1299</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1299</v>
      </c>
    </row>
    <row r="24" spans="1:2" ht="80.650000000000006"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1302</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1299</v>
      </c>
    </row>
    <row r="26" spans="1:2" ht="280.89999999999998"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1299</v>
      </c>
    </row>
    <row r="27" spans="1:2" ht="30">
      <c r="A27" s="102" t="str">
        <f ca="1">OFFSET(L!$C$1,MATCH("Instructions"&amp;ADDRESS(ROW(),COLUMN(),4),L!$A:$A,0)-1,SL,,)</f>
        <v>Manche Unternehmen benötigen eine Begründung für eine "Nein" -Antwort im Kommentarfeld</v>
      </c>
      <c r="B27" s="100" t="s">
        <v>1299</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1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1299</v>
      </c>
    </row>
    <row r="30" spans="1:2" ht="181.9"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1299</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1302</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1299</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1299</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1301</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650000000000006"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1304</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1302</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1303</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1299</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1300</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1299</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1299</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1298</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1299</v>
      </c>
    </row>
    <row r="52" spans="1:2" ht="44.6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150000000000006"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1299</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1298</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1304</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1298</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1298</v>
      </c>
    </row>
    <row r="58" spans="1:2" ht="60">
      <c r="A58" s="102" t="str">
        <f ca="1">OFFSET(L!$C$1,MATCH("Instructions"&amp;ADDRESS(ROW(),COLUMN(),4),L!$A:$A,0)-1,SL,,)</f>
        <v>8. Straße der Schmelzhütte – Geben Sie den Straßennamen des Schmelzhüttenstandortes an. Das Ausfüllen dieses Feldes ist freiwillig.</v>
      </c>
      <c r="B58" s="100" t="s">
        <v>1298</v>
      </c>
    </row>
    <row r="59" spans="1:2" ht="30">
      <c r="A59" s="102" t="str">
        <f ca="1">OFFSET(L!$C$1,MATCH("Instructions"&amp;ADDRESS(ROW(),COLUMN(),4),L!$A:$A,0)-1,SL,,)</f>
        <v>9. Ort der Schmelzhütte – Geben Sie den Namen des Ortes an, in dem sich die Schmelzhütte befindet. Das Ausfüllen dieses Feldes ist freiwillig.</v>
      </c>
      <c r="B59" s="100" t="s">
        <v>1299</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1302</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1302</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1298</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1298</v>
      </c>
    </row>
    <row r="64" spans="1:2" ht="136.1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650000000000006"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1299</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1305</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1303</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Zinn, Tantal, Wolfram, Gold</v>
      </c>
      <c r="D3" s="321"/>
      <c r="E3" s="100" t="s">
        <v>1307</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1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1308</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1308</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1311</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1308</v>
      </c>
    </row>
    <row r="10" spans="1:5" ht="45">
      <c r="A10" s="74"/>
      <c r="B10" s="63" t="str">
        <f ca="1">OFFSET(L!$C$1,MATCH("Definitions"&amp;ADDRESS(ROW(),COLUMN(),4),L!$A:$A,0)-1,SL,,)</f>
        <v>DRK</v>
      </c>
      <c r="C10" s="63" t="str">
        <f ca="1">OFFSET(L!$C$1,MATCH("Definitions"&amp;ADDRESS(ROW(),COLUMN(),4),L!$A:$A,0)-1,SL,,)</f>
        <v>Demokratische Republik Kongo</v>
      </c>
      <c r="D10" s="321"/>
      <c r="E10" s="100" t="s">
        <v>1307</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1307</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1"/>
      <c r="E12" s="100" t="s">
        <v>1307</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1309</v>
      </c>
    </row>
    <row r="14" spans="1:5" ht="315">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1307</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1307</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1307</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1307</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1307</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1307</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1308</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1"/>
      <c r="E29" s="100" t="s">
        <v>1309</v>
      </c>
    </row>
    <row r="30" spans="1:5" ht="151.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1"/>
      <c r="E30" s="100" t="s">
        <v>1310</v>
      </c>
    </row>
    <row r="31" spans="1:5" ht="136.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90" sqref="B90:J90"/>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536</v>
      </c>
      <c r="E3" s="3"/>
      <c r="F3" s="357"/>
      <c r="G3" s="357"/>
      <c r="H3" s="357"/>
      <c r="I3" s="152"/>
      <c r="J3" s="138" t="s">
        <v>15794</v>
      </c>
      <c r="K3" s="36"/>
      <c r="L3" s="100"/>
      <c r="P3" s="45">
        <f>MATCH($D$3,LN,0)</f>
        <v>7</v>
      </c>
    </row>
    <row r="4" spans="1:34" ht="15.75">
      <c r="A4" s="34"/>
      <c r="B4" s="353" t="str">
        <f ca="1">OFFSET(L!$C$1,MATCH("Declaration"&amp;ADDRESS(ROW(),COLUMN(),4),L!$A:$A,0)-1,SL,,)</f>
        <v>Der Zweck dieses Dokuments ist die Erfassung von Beschaffungsinformationen für Zinn, Tantal, Wolfram und Gold, welche in Produkten genutzt werden.</v>
      </c>
      <c r="C4" s="353"/>
      <c r="D4" s="353"/>
      <c r="E4" s="353"/>
      <c r="F4" s="353"/>
      <c r="G4" s="353"/>
      <c r="H4" s="353"/>
      <c r="I4" s="358" t="str">
        <f ca="1">OFFSET(L!$C$1,MATCH("Declaration"&amp;ADDRESS(ROW(),COLUMN(),4),L!$A:$A,0)-1,SL,,)</f>
        <v>Link zu den Bedingungen</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Pflichtfelder sind mit einem Sternchen (*) gekennzeichnet.  Im Tab „Instruktionen“ finden Sie eine Anleitung zur Beantwortung aller Fragen.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Firmenangaben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Beschreibung des Geltungsbereichs</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83" t="s">
        <v>15797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65" t="s">
        <v>15798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23" t="s">
        <v>15799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28">
        <v>45133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Beantworten Sie die Fragen 1 - 8 entsprechend dem oben angegebenen Geltungsbereich</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7" t="str">
        <f ca="1">OFFSET(L!$C$1,MATCH("Declaration"&amp;ADDRESS(ROW(),COLUMN(),4),L!$A:$A,0)-1,SL,,)</f>
        <v>Antwort</v>
      </c>
      <c r="E25" s="337"/>
      <c r="F25" s="18"/>
      <c r="G25" s="44" t="str">
        <f ca="1">OFFSET(L!$C$1,MATCH("Declaration"&amp;ADDRESS(ROW(),COLUMN(),4),L!$A:$A,0)-1,SL,,)</f>
        <v>Kommentare</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1" t="str">
        <f ca="1">D25</f>
        <v>Antwort</v>
      </c>
      <c r="E31" s="331"/>
      <c r="F31" s="18"/>
      <c r="G31" s="44" t="str">
        <f ca="1">G25</f>
        <v>Kommentare</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1" t="str">
        <f ca="1">D25</f>
        <v>Antwort</v>
      </c>
      <c r="E37" s="331"/>
      <c r="F37" s="18"/>
      <c r="G37" s="44" t="str">
        <f ca="1">G25</f>
        <v>Kommentare</v>
      </c>
      <c r="H37" s="374"/>
      <c r="I37" s="374"/>
      <c r="J37" s="374"/>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1" t="str">
        <f ca="1">D25</f>
        <v>Antwort</v>
      </c>
      <c r="E43" s="331"/>
      <c r="F43" s="18"/>
      <c r="G43" s="44" t="str">
        <f ca="1">G25</f>
        <v>Kommentare</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1" t="str">
        <f ca="1">D25</f>
        <v>Antwort</v>
      </c>
      <c r="E49" s="331"/>
      <c r="F49" s="18"/>
      <c r="G49" s="44" t="str">
        <f ca="1">G25</f>
        <v>Kommentare</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1" t="str">
        <f ca="1">D25</f>
        <v>Antwort</v>
      </c>
      <c r="E55" s="331"/>
      <c r="F55" s="18"/>
      <c r="G55" s="44" t="str">
        <f ca="1">G25</f>
        <v>Kommentare</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68" t="s">
        <v>2480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1" t="str">
        <f ca="1">D25</f>
        <v>Antwort</v>
      </c>
      <c r="E61" s="331"/>
      <c r="F61" s="18"/>
      <c r="G61" s="44" t="str">
        <f ca="1">G25</f>
        <v>Kommentare</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1" t="str">
        <f ca="1">D25</f>
        <v>Antwort</v>
      </c>
      <c r="E67" s="331"/>
      <c r="F67" s="18"/>
      <c r="G67" s="44" t="str">
        <f ca="1">G25</f>
        <v>Kommentare</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Beantworten Sie folgende Fragen auf Firmenebene</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7" t="str">
        <f ca="1">D25</f>
        <v>Antwort</v>
      </c>
      <c r="E74" s="337"/>
      <c r="F74" s="53"/>
      <c r="G74" s="337" t="str">
        <f ca="1">G25</f>
        <v>Kommentare</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F9790CE-CD90-4D30-8A3C-57F8DF7426E8}"/>
    <hyperlink ref="D20" r:id="rId4" xr:uid="{43482AAF-A1E7-4FDC-9DA3-5E62480571F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2" sqref="C12"/>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12420</v>
      </c>
      <c r="S4" s="216" t="s">
        <v>12403</v>
      </c>
      <c r="T4" s="216" t="s">
        <v>12404</v>
      </c>
      <c r="U4" s="200"/>
      <c r="W4" s="159" t="s">
        <v>1319</v>
      </c>
      <c r="X4" s="159" t="s">
        <v>938</v>
      </c>
      <c r="AH4" s="145" t="s">
        <v>490</v>
      </c>
    </row>
    <row r="5" spans="1:34" s="227" customFormat="1" ht="19.899999999999999" customHeight="1">
      <c r="A5" s="262"/>
      <c r="B5" s="182" t="s">
        <v>1126</v>
      </c>
      <c r="C5" s="186" t="s">
        <v>2138</v>
      </c>
      <c r="D5" s="230"/>
      <c r="E5" s="182" t="str">
        <f ca="1">IF(ISERROR($V5),"",OFFSET('Smelter Look-up'!$D$4,$V5-4,0)&amp;"")</f>
        <v>BOLIVIA (PLURINATIONAL STATE OF)</v>
      </c>
      <c r="F5" s="182" t="str">
        <f ca="1">IF(ISERROR($V5),"",OFFSET('Smelter Look-up'!$E$4,$V5-4,0))</f>
        <v>CID001337</v>
      </c>
      <c r="G5" s="182" t="str">
        <f ca="1">IF(C5=$X$4,IF(ISERROR($V5),"Enter smelter details","RMI"),IF(ISERROR($V5),"",OFFSET('Smelter Look-up'!$F$4,$V5-4,0)))</f>
        <v>RMI</v>
      </c>
      <c r="H5" s="183">
        <f ca="1">IF(ISERROR($V5),"",OFFSET('Smelter Look-up'!$G$4,$V5-4,0))</f>
        <v>0</v>
      </c>
      <c r="I5" s="184" t="str">
        <f ca="1">IF(ISERROR($V5),"",OFFSET('Smelter Look-up'!$H$4,$V5-4,0))</f>
        <v>Oruro</v>
      </c>
      <c r="J5" s="184" t="str">
        <f ca="1">IF(ISERROR($V5),"",OFFSET('Smelter Look-up'!$I$4,$V5-4,0))</f>
        <v>Oruro</v>
      </c>
      <c r="K5" s="224"/>
      <c r="L5" s="224"/>
      <c r="M5" s="224"/>
      <c r="N5" s="224"/>
      <c r="O5" s="224"/>
      <c r="P5" s="185"/>
      <c r="Q5" s="225"/>
      <c r="R5" s="182" t="str">
        <f ca="1">IF(ISERROR($V5),"",OFFSET('Smelter Look-up'!$C$4,$V5-4,0)&amp;"")</f>
        <v>Operaciones Metalurgicas S.A.</v>
      </c>
      <c r="S5" s="181" t="str">
        <f t="shared" ref="S5" ca="1" si="0">IF(B5="","",IF(ISERROR(MATCH($E5,CL,0)),"Unknown",INDIRECT("'C'!$A$"&amp;MATCH($E5,CL,0)+1)))</f>
        <v>BO</v>
      </c>
      <c r="T5" s="181" t="str">
        <f ca="1">IF(B5="","",IF(ISERROR(MATCH($J5,SorP!$B$1:$B$6279,0)),"",INDIRECT("'SorP'!$A$"&amp;MATCH($S5&amp;$J5,SorP!C:C,0))))</f>
        <v>BO-O</v>
      </c>
      <c r="U5" s="201"/>
      <c r="V5" s="226">
        <f>IF(C5="",NA(),IF(OR(C5="Smelter not listed",C5="Smelter not yet identified"),MATCH($B5&amp;$D5,'Smelter Look-up'!$J:$J,0),MATCH($B5&amp;$C5,'Smelter Look-up'!$J:$J,0)))</f>
        <v>481</v>
      </c>
      <c r="X5" s="227">
        <f t="shared" ref="X5" ca="1" si="1">IF(AND(C5="Smelter not listed",OR(LEN(D5)=0,LEN(E5)=0)),1,0)</f>
        <v>0</v>
      </c>
      <c r="AB5" s="228" t="str">
        <f t="shared" ref="AB5" si="2">B5&amp;C5</f>
        <v>TinOMSA</v>
      </c>
    </row>
    <row r="6" spans="1:34" s="227" customFormat="1" ht="19.899999999999999" customHeight="1">
      <c r="A6" s="262"/>
      <c r="B6" s="182" t="s">
        <v>1126</v>
      </c>
      <c r="C6" s="186" t="s">
        <v>811</v>
      </c>
      <c r="D6" s="230"/>
      <c r="E6" s="182" t="str">
        <f ca="1">IF(ISERROR($V6),"",OFFSET('Smelter Look-up'!$D$4,$V6-4,0)&amp;"")</f>
        <v>POLAND</v>
      </c>
      <c r="F6" s="182" t="str">
        <f ca="1">IF(ISERROR($V6),"",OFFSET('Smelter Look-up'!$E$4,$V6-4,0))</f>
        <v>CID000468</v>
      </c>
      <c r="G6" s="182" t="str">
        <f ca="1">IF(C6=$X$4,IF(ISERROR($V6),"Enter smelter details","RMI"),IF(ISERROR($V6),"",OFFSET('Smelter Look-up'!$F$4,$V6-4,0)))</f>
        <v>RMI</v>
      </c>
      <c r="H6" s="183">
        <f ca="1">IF(ISERROR($V6),"",OFFSET('Smelter Look-up'!$G$4,$V6-4,0))</f>
        <v>0</v>
      </c>
      <c r="I6" s="184" t="str">
        <f ca="1">IF(ISERROR($V6),"",OFFSET('Smelter Look-up'!$H$4,$V6-4,0))</f>
        <v>Chmielów</v>
      </c>
      <c r="J6" s="184" t="str">
        <f ca="1">IF(ISERROR($V6),"",OFFSET('Smelter Look-up'!$I$4,$V6-4,0))</f>
        <v>Podkarpackie</v>
      </c>
      <c r="K6" s="224"/>
      <c r="L6" s="224"/>
      <c r="M6" s="224"/>
      <c r="N6" s="224"/>
      <c r="O6" s="224"/>
      <c r="P6" s="185"/>
      <c r="Q6" s="225"/>
      <c r="R6" s="182" t="str">
        <f ca="1">IF(ISERROR($V6),"",OFFSET('Smelter Look-up'!$C$4,$V6-4,0)&amp;"")</f>
        <v>Fenix Metals</v>
      </c>
      <c r="S6" s="181" t="str">
        <f t="shared" ref="S6:S37" ca="1" si="3">IF(B6="","",IF(ISERROR(MATCH($E6,CL,0)),"Unknown",INDIRECT("'C'!$A$"&amp;MATCH($E6,CL,0)+1)))</f>
        <v>PL</v>
      </c>
      <c r="T6" s="181" t="str">
        <f ca="1">IF(B6="","",IF(ISERROR(MATCH($J6,SorP!$B$1:$B$6279,0)),"",INDIRECT("'SorP'!$A$"&amp;MATCH($S6&amp;$J6,SorP!C:C,0))))</f>
        <v>PL-18</v>
      </c>
      <c r="U6" s="201"/>
      <c r="V6" s="226">
        <f>IF(C6="",NA(),IF(OR(C6="Smelter not listed",C6="Smelter not yet identified"),MATCH($B6&amp;$D6,'Smelter Look-up'!$J:$J,0),MATCH($B6&amp;$C6,'Smelter Look-up'!$J:$J,0)))</f>
        <v>430</v>
      </c>
      <c r="X6" s="227">
        <f t="shared" ref="X6:X37" ca="1" si="4">IF(AND(C6="Smelter not listed",OR(LEN(D6)=0,LEN(E6)=0)),1,0)</f>
        <v>0</v>
      </c>
      <c r="AB6" s="228" t="str">
        <f t="shared" ref="AB6:AB37" si="5">B6&amp;C6</f>
        <v>TinFenix Metals</v>
      </c>
    </row>
    <row r="7" spans="1:34" s="227" customFormat="1" ht="19.899999999999999" customHeight="1">
      <c r="A7" s="262"/>
      <c r="B7" s="182" t="s">
        <v>1126</v>
      </c>
      <c r="C7" s="186" t="s">
        <v>1027</v>
      </c>
      <c r="D7" s="230"/>
      <c r="E7" s="182" t="str">
        <f ca="1">IF(ISERROR($V7),"",OFFSET('Smelter Look-up'!$D$4,$V7-4,0)&amp;"")</f>
        <v>THAILAND</v>
      </c>
      <c r="F7" s="182" t="str">
        <f ca="1">IF(ISERROR($V7),"",OFFSET('Smelter Look-up'!$E$4,$V7-4,0))</f>
        <v>CID001898</v>
      </c>
      <c r="G7" s="182" t="str">
        <f ca="1">IF(C7=$X$4,IF(ISERROR($V7),"Enter smelter details","RMI"),IF(ISERROR($V7),"",OFFSET('Smelter Look-up'!$F$4,$V7-4,0)))</f>
        <v>RMI</v>
      </c>
      <c r="H7" s="183">
        <f ca="1">IF(ISERROR($V7),"",OFFSET('Smelter Look-up'!$G$4,$V7-4,0))</f>
        <v>0</v>
      </c>
      <c r="I7" s="184" t="str">
        <f ca="1">IF(ISERROR($V7),"",OFFSET('Smelter Look-up'!$H$4,$V7-4,0))</f>
        <v>Amphur Muang</v>
      </c>
      <c r="J7" s="184" t="str">
        <f ca="1">IF(ISERROR($V7),"",OFFSET('Smelter Look-up'!$I$4,$V7-4,0))</f>
        <v>Phuket</v>
      </c>
      <c r="K7" s="224"/>
      <c r="L7" s="224"/>
      <c r="M7" s="224"/>
      <c r="N7" s="224"/>
      <c r="O7" s="224"/>
      <c r="P7" s="185"/>
      <c r="Q7" s="225"/>
      <c r="R7" s="182" t="str">
        <f ca="1">IF(ISERROR($V7),"",OFFSET('Smelter Look-up'!$C$4,$V7-4,0)&amp;"")</f>
        <v>Thaisarco</v>
      </c>
      <c r="S7" s="181" t="str">
        <f t="shared" ca="1" si="3"/>
        <v>TH</v>
      </c>
      <c r="T7" s="181" t="str">
        <f ca="1">IF(B7="","",IF(ISERROR(MATCH($J7,SorP!$B$1:$B$6279,0)),"",INDIRECT("'SorP'!$A$"&amp;MATCH($S7&amp;$J7,SorP!C:C,0))))</f>
        <v>TH-83</v>
      </c>
      <c r="U7" s="201"/>
      <c r="V7" s="226">
        <f>IF(C7="",NA(),IF(OR(C7="Smelter not listed",C7="Smelter not yet identified"),MATCH($B7&amp;$D7,'Smelter Look-up'!$J:$J,0),MATCH($B7&amp;$C7,'Smelter Look-up'!$J:$J,0)))</f>
        <v>526</v>
      </c>
      <c r="X7" s="227">
        <f t="shared" ca="1" si="4"/>
        <v>0</v>
      </c>
      <c r="AB7" s="228" t="str">
        <f t="shared" si="5"/>
        <v>TinThaisarco</v>
      </c>
    </row>
    <row r="8" spans="1:34" s="227" customFormat="1" ht="19.899999999999999" customHeight="1">
      <c r="A8" s="262"/>
      <c r="B8" s="182" t="s">
        <v>1126</v>
      </c>
      <c r="C8" s="186" t="s">
        <v>817</v>
      </c>
      <c r="D8" s="230"/>
      <c r="E8" s="182" t="str">
        <f ca="1">IF(ISERROR($V8),"",OFFSET('Smelter Look-up'!$D$4,$V8-4,0)&amp;"")</f>
        <v>MALAYSIA</v>
      </c>
      <c r="F8" s="182" t="str">
        <f ca="1">IF(ISERROR($V8),"",OFFSET('Smelter Look-up'!$E$4,$V8-4,0))</f>
        <v>CID001105</v>
      </c>
      <c r="G8" s="182" t="str">
        <f ca="1">IF(C8=$X$4,IF(ISERROR($V8),"Enter smelter details","RMI"),IF(ISERROR($V8),"",OFFSET('Smelter Look-up'!$F$4,$V8-4,0)))</f>
        <v>RMI</v>
      </c>
      <c r="H8" s="183">
        <f ca="1">IF(ISERROR($V8),"",OFFSET('Smelter Look-up'!$G$4,$V8-4,0))</f>
        <v>0</v>
      </c>
      <c r="I8" s="184" t="str">
        <f ca="1">IF(ISERROR($V8),"",OFFSET('Smelter Look-up'!$H$4,$V8-4,0))</f>
        <v>Butterworth</v>
      </c>
      <c r="J8" s="184" t="str">
        <f ca="1">IF(ISERROR($V8),"",OFFSET('Smelter Look-up'!$I$4,$V8-4,0))</f>
        <v>Pulau Pinang</v>
      </c>
      <c r="K8" s="224"/>
      <c r="L8" s="224"/>
      <c r="M8" s="224"/>
      <c r="N8" s="224"/>
      <c r="O8" s="224"/>
      <c r="P8" s="185"/>
      <c r="Q8" s="225"/>
      <c r="R8" s="182" t="str">
        <f ca="1">IF(ISERROR($V8),"",OFFSET('Smelter Look-up'!$C$4,$V8-4,0)&amp;"")</f>
        <v>Malaysia Smelting Corporation (MSC)</v>
      </c>
      <c r="S8" s="181" t="str">
        <f t="shared" ca="1" si="3"/>
        <v>MY</v>
      </c>
      <c r="T8" s="181" t="str">
        <f ca="1">IF(B8="","",IF(ISERROR(MATCH($J8,SorP!$B$1:$B$6279,0)),"",INDIRECT("'SorP'!$A$"&amp;MATCH($S8&amp;$J8,SorP!C:C,0))))</f>
        <v>MY-07</v>
      </c>
      <c r="U8" s="201"/>
      <c r="V8" s="226">
        <f>IF(C8="",NA(),IF(OR(C8="Smelter not listed",C8="Smelter not yet identified"),MATCH($B8&amp;$D8,'Smelter Look-up'!$J:$J,0),MATCH($B8&amp;$C8,'Smelter Look-up'!$J:$J,0)))</f>
        <v>458</v>
      </c>
      <c r="X8" s="227">
        <f t="shared" ca="1" si="4"/>
        <v>0</v>
      </c>
      <c r="AB8" s="228" t="str">
        <f t="shared" si="5"/>
        <v>TinMalaysia Smelting Corporation (MSC)</v>
      </c>
    </row>
    <row r="9" spans="1:34" s="227" customFormat="1" ht="19.899999999999999" customHeight="1">
      <c r="A9" s="262"/>
      <c r="B9" s="182" t="s">
        <v>1126</v>
      </c>
      <c r="C9" s="186" t="s">
        <v>2157</v>
      </c>
      <c r="D9" s="230"/>
      <c r="E9" s="182" t="str">
        <f ca="1">IF(ISERROR($V9),"",OFFSET('Smelter Look-up'!$D$4,$V9-4,0)&amp;"")</f>
        <v>INDONESIA</v>
      </c>
      <c r="F9" s="182" t="str">
        <f ca="1">IF(ISERROR($V9),"",OFFSET('Smelter Look-up'!$E$4,$V9-4,0))</f>
        <v>CID001460</v>
      </c>
      <c r="G9" s="182" t="str">
        <f ca="1">IF(C9=$X$4,IF(ISERROR($V9),"Enter smelter details","RMI"),IF(ISERROR($V9),"",OFFSET('Smelter Look-up'!$F$4,$V9-4,0)))</f>
        <v>RMI</v>
      </c>
      <c r="H9" s="183">
        <f ca="1">IF(ISERROR($V9),"",OFFSET('Smelter Look-up'!$G$4,$V9-4,0))</f>
        <v>0</v>
      </c>
      <c r="I9" s="184" t="str">
        <f ca="1">IF(ISERROR($V9),"",OFFSET('Smelter Look-up'!$H$4,$V9-4,0))</f>
        <v>Sungailiat</v>
      </c>
      <c r="J9" s="184" t="str">
        <f ca="1">IF(ISERROR($V9),"",OFFSET('Smelter Look-up'!$I$4,$V9-4,0))</f>
        <v>Kepulauan Bangka Belitung</v>
      </c>
      <c r="K9" s="224"/>
      <c r="L9" s="224"/>
      <c r="M9" s="224"/>
      <c r="N9" s="224"/>
      <c r="O9" s="224"/>
      <c r="P9" s="185"/>
      <c r="Q9" s="225"/>
      <c r="R9" s="182" t="str">
        <f ca="1">IF(ISERROR($V9),"",OFFSET('Smelter Look-up'!$C$4,$V9-4,0)&amp;"")</f>
        <v>PT Refined Bangka Tin</v>
      </c>
      <c r="S9" s="181" t="str">
        <f t="shared" ca="1" si="3"/>
        <v>ID</v>
      </c>
      <c r="T9" s="181" t="str">
        <f ca="1">IF(B9="","",IF(ISERROR(MATCH($J9,SorP!$B$1:$B$6279,0)),"",INDIRECT("'SorP'!$A$"&amp;MATCH($S9&amp;$J9,SorP!C:C,0))))</f>
        <v>ID-BB</v>
      </c>
      <c r="U9" s="201"/>
      <c r="V9" s="226">
        <f>IF(C9="",NA(),IF(OR(C9="Smelter not listed",C9="Smelter not yet identified"),MATCH($B9&amp;$D9,'Smelter Look-up'!$J:$J,0),MATCH($B9&amp;$C9,'Smelter Look-up'!$J:$J,0)))</f>
        <v>507</v>
      </c>
      <c r="X9" s="227">
        <f t="shared" ca="1" si="4"/>
        <v>0</v>
      </c>
      <c r="AB9" s="228" t="str">
        <f t="shared" si="5"/>
        <v>TinPT Refined Bangka Tin</v>
      </c>
    </row>
    <row r="10" spans="1:34" s="227" customFormat="1" ht="19.899999999999999" customHeight="1">
      <c r="A10" s="262"/>
      <c r="B10" s="182" t="s">
        <v>1126</v>
      </c>
      <c r="C10" s="186" t="s">
        <v>1028</v>
      </c>
      <c r="D10" s="230"/>
      <c r="E10" s="182" t="str">
        <f ca="1">IF(ISERROR($V10),"",OFFSET('Smelter Look-up'!$D$4,$V10-4,0)&amp;"")</f>
        <v>INDONESIA</v>
      </c>
      <c r="F10" s="182" t="str">
        <f ca="1">IF(ISERROR($V10),"",OFFSET('Smelter Look-up'!$E$4,$V10-4,0))</f>
        <v>CID001477</v>
      </c>
      <c r="G10" s="182" t="str">
        <f ca="1">IF(C10=$X$4,IF(ISERROR($V10),"Enter smelter details","RMI"),IF(ISERROR($V10),"",OFFSET('Smelter Look-up'!$F$4,$V10-4,0)))</f>
        <v>RMI</v>
      </c>
      <c r="H10" s="183">
        <f ca="1">IF(ISERROR($V10),"",OFFSET('Smelter Look-up'!$G$4,$V10-4,0))</f>
        <v>0</v>
      </c>
      <c r="I10" s="184" t="str">
        <f ca="1">IF(ISERROR($V10),"",OFFSET('Smelter Look-up'!$H$4,$V10-4,0))</f>
        <v>Kundur</v>
      </c>
      <c r="J10" s="184" t="str">
        <f ca="1">IF(ISERROR($V10),"",OFFSET('Smelter Look-up'!$I$4,$V10-4,0))</f>
        <v>Riau</v>
      </c>
      <c r="K10" s="224"/>
      <c r="L10" s="224"/>
      <c r="M10" s="224"/>
      <c r="N10" s="224"/>
      <c r="O10" s="224"/>
      <c r="P10" s="185"/>
      <c r="Q10" s="225"/>
      <c r="R10" s="182" t="str">
        <f ca="1">IF(ISERROR($V10),"",OFFSET('Smelter Look-up'!$C$4,$V10-4,0)&amp;"")</f>
        <v>PT Timah Tbk Kundur</v>
      </c>
      <c r="S10" s="181" t="str">
        <f t="shared" ca="1" si="3"/>
        <v>ID</v>
      </c>
      <c r="T10" s="181" t="str">
        <f ca="1">IF(B10="","",IF(ISERROR(MATCH($J10,SorP!$B$1:$B$6279,0)),"",INDIRECT("'SorP'!$A$"&amp;MATCH($S10&amp;$J10,SorP!C:C,0))))</f>
        <v>ID-RI</v>
      </c>
      <c r="U10" s="201"/>
      <c r="V10" s="226">
        <f>IF(C10="",NA(),IF(OR(C10="Smelter not listed",C10="Smelter not yet identified"),MATCH($B10&amp;$D10,'Smelter Look-up'!$J:$J,0),MATCH($B10&amp;$C10,'Smelter Look-up'!$J:$J,0)))</f>
        <v>511</v>
      </c>
      <c r="X10" s="227">
        <f t="shared" ca="1" si="4"/>
        <v>0</v>
      </c>
      <c r="AB10" s="228" t="str">
        <f t="shared" si="5"/>
        <v>TinPT Tambang Timah</v>
      </c>
    </row>
    <row r="11" spans="1:34" s="227" customFormat="1" ht="19.899999999999999" customHeight="1">
      <c r="A11" s="262"/>
      <c r="B11" s="182" t="s">
        <v>1126</v>
      </c>
      <c r="C11" s="186" t="s">
        <v>1030</v>
      </c>
      <c r="D11" s="230"/>
      <c r="E11" s="182" t="str">
        <f ca="1">IF(ISERROR($V11),"",OFFSET('Smelter Look-up'!$D$4,$V11-4,0)&amp;"")</f>
        <v>PERU</v>
      </c>
      <c r="F11" s="182" t="str">
        <f ca="1">IF(ISERROR($V11),"",OFFSET('Smelter Look-up'!$E$4,$V11-4,0))</f>
        <v>CID001182</v>
      </c>
      <c r="G11" s="182" t="str">
        <f ca="1">IF(C11=$X$4,IF(ISERROR($V11),"Enter smelter details","RMI"),IF(ISERROR($V11),"",OFFSET('Smelter Look-up'!$F$4,$V11-4,0)))</f>
        <v>RMI</v>
      </c>
      <c r="H11" s="183">
        <f ca="1">IF(ISERROR($V11),"",OFFSET('Smelter Look-up'!$G$4,$V11-4,0))</f>
        <v>0</v>
      </c>
      <c r="I11" s="184" t="str">
        <f ca="1">IF(ISERROR($V11),"",OFFSET('Smelter Look-up'!$H$4,$V11-4,0))</f>
        <v>Paracas</v>
      </c>
      <c r="J11" s="184" t="str">
        <f ca="1">IF(ISERROR($V11),"",OFFSET('Smelter Look-up'!$I$4,$V11-4,0))</f>
        <v>Ika</v>
      </c>
      <c r="K11" s="224"/>
      <c r="L11" s="224"/>
      <c r="M11" s="224"/>
      <c r="N11" s="224"/>
      <c r="O11" s="224"/>
      <c r="P11" s="185"/>
      <c r="Q11" s="225"/>
      <c r="R11" s="182" t="str">
        <f ca="1">IF(ISERROR($V11),"",OFFSET('Smelter Look-up'!$C$4,$V11-4,0)&amp;"")</f>
        <v>Minsur</v>
      </c>
      <c r="S11" s="181" t="str">
        <f t="shared" ca="1" si="3"/>
        <v>PE</v>
      </c>
      <c r="T11" s="181" t="str">
        <f ca="1">IF(B11="","",IF(ISERROR(MATCH($J11,SorP!$B$1:$B$6279,0)),"",INDIRECT("'SorP'!$A$"&amp;MATCH($S11&amp;$J11,SorP!C:C,0))))</f>
        <v>PE-ICA</v>
      </c>
      <c r="U11" s="201"/>
      <c r="V11" s="226">
        <f>IF(C11="",NA(),IF(OR(C11="Smelter not listed",C11="Smelter not yet identified"),MATCH($B11&amp;$D11,'Smelter Look-up'!$J:$J,0),MATCH($B11&amp;$C11,'Smelter Look-up'!$J:$J,0)))</f>
        <v>470</v>
      </c>
      <c r="X11" s="227">
        <f t="shared" ca="1" si="4"/>
        <v>0</v>
      </c>
      <c r="AB11" s="228" t="str">
        <f t="shared" si="5"/>
        <v>TinMinsur</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3116ED7-4EB1-4318-A0B1-C40545C9883D}"/>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527</v>
      </c>
      <c r="G3" s="19" t="s">
        <v>526</v>
      </c>
      <c r="H3" s="19" t="s">
        <v>528</v>
      </c>
      <c r="I3" s="19" t="s">
        <v>1312</v>
      </c>
      <c r="J3" s="19" t="s">
        <v>1313</v>
      </c>
    </row>
    <row r="4" spans="1:10" ht="39">
      <c r="A4" s="90" t="str">
        <f ca="1">Declaration!B8</f>
        <v>Firmenname (*):</v>
      </c>
      <c r="B4" s="89" t="str">
        <f>Declaration!D8</f>
        <v>J. Schneider Elektrotechnik GmbH</v>
      </c>
      <c r="C4" s="89" t="str">
        <f t="shared" ref="C4" ca="1" si="0">IF(H4=1,J4,I4)</f>
        <v>Vollständig</v>
      </c>
      <c r="D4" s="95" t="str">
        <f>IF(H4=1,"Click here to enter Company Name","")</f>
        <v/>
      </c>
      <c r="E4" s="20" t="s">
        <v>1302</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1302</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Erich Leible</v>
      </c>
      <c r="C7" s="89" t="str">
        <f ca="1">IF(H7=1,J7,I7)</f>
        <v>Vollständig</v>
      </c>
      <c r="D7" s="95" t="str">
        <f>IF(H7=1,"Click here to enter Contact Name","")</f>
        <v/>
      </c>
      <c r="E7" s="20" t="s">
        <v>1302</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e.leible@j-schneider.de</v>
      </c>
      <c r="C8" s="89" t="str">
        <f ca="1">IF(H8=1,J8,I8)</f>
        <v>Vollständig</v>
      </c>
      <c r="D8" s="95" t="str">
        <f>IF(H8=1,"Click here to enter Email-Contact","")</f>
        <v/>
      </c>
      <c r="E8" s="20" t="s">
        <v>1302</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+49781206237</v>
      </c>
      <c r="C9" s="89" t="str">
        <f ca="1">IF(H9=1,J9,I9)</f>
        <v>Vollständig</v>
      </c>
      <c r="D9" s="95" t="str">
        <f>IF(H9=1,"Click here to enter Phone-Contact","")</f>
        <v/>
      </c>
      <c r="E9" s="20" t="s">
        <v>1302</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Erich Leible</v>
      </c>
      <c r="C10" s="89" t="str">
        <f t="shared" ref="C10" ca="1" si="4">IF(H10=1,J10,I10)</f>
        <v>Vollständig</v>
      </c>
      <c r="D10" s="95" t="str">
        <f>IF(H10=1,"Click here to enter an Authorized Company Representative's name","")</f>
        <v/>
      </c>
      <c r="E10" s="20" t="s">
        <v>1302</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e.leible@j-schneider.de</v>
      </c>
      <c r="C11" s="89" t="str">
        <f ca="1">IF(H11=1,J11,I11)</f>
        <v>Vollständig</v>
      </c>
      <c r="D11" s="95" t="str">
        <f>IF(H11=1,"Click here to enter Representative's email","")</f>
        <v/>
      </c>
      <c r="E11" s="20" t="s">
        <v>1302</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45133</v>
      </c>
      <c r="C12" s="89" t="str">
        <f ca="1">IF(H12=1,J12,I12)</f>
        <v>Vollständig</v>
      </c>
      <c r="D12" s="95" t="str">
        <f>IF(H12=1,"Click here to enter Date of Completion","")</f>
        <v/>
      </c>
      <c r="E12" s="20" t="s">
        <v>1302</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806</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802</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803</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803</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803</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804</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803</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803</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803</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803</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803</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No</v>
      </c>
      <c r="C25" s="89" t="str">
        <f ca="1">IF(H25=1,J25,I25)</f>
        <v>Vollständig</v>
      </c>
      <c r="D25" s="97" t="str">
        <f>IF(H25=1,"Click here to answer question 3 for Tin","")</f>
        <v/>
      </c>
      <c r="E25" s="20" t="s">
        <v>803</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803</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803</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No</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1302</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1302</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1302</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0" t="str">
        <f>IF(H36=1,"Click here to answer question 5 for Gold","")</f>
        <v/>
      </c>
      <c r="E36" s="20" t="s">
        <v>1302</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1302</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803</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802</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Greater than 90%</v>
      </c>
      <c r="C40" s="89" t="str">
        <f ca="1">IF(H40=1,J40,I40)</f>
        <v>Vollständig</v>
      </c>
      <c r="D40" s="261" t="str">
        <f>IF(H40=1,"Click here to answer question 6 for Tin","")</f>
        <v/>
      </c>
      <c r="E40" s="20" t="s">
        <v>802</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 xml:space="preserve">Gold  </v>
      </c>
      <c r="B41" s="268">
        <f>IF(AND($B$16="Yes",$B$21="Yes"),Declaration!D58,0)</f>
        <v>0</v>
      </c>
      <c r="C41" s="89" t="str">
        <f ca="1">IF(H41=1,J41,I41)</f>
        <v>Vollständig</v>
      </c>
      <c r="D41" s="261" t="str">
        <f>IF(H41=1,"Click here to answer question 6 for Gold","")</f>
        <v/>
      </c>
      <c r="E41" s="20" t="s">
        <v>802</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802</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804</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1298</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1298</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 xml:space="preserve">Gold  </v>
      </c>
      <c r="B46" s="89">
        <f>IF(AND($B$16="Yes",$B$21="Yes"),Declaration!D64,0)</f>
        <v>0</v>
      </c>
      <c r="C46" s="89" t="str">
        <f ca="1">IF(H46=1,J46,I46)</f>
        <v>Vollständig</v>
      </c>
      <c r="D46" s="260" t="str">
        <f>IF(H46=1,"Click here to answer question 7 for Gold","")</f>
        <v/>
      </c>
      <c r="E46" s="20" t="s">
        <v>1298</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1298</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805</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803</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803</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1" t="str">
        <f>IF(H51=1,"Click here to answer question 8 for Gold","")</f>
        <v/>
      </c>
      <c r="E51" s="20" t="s">
        <v>803</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803</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441</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1302</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No</v>
      </c>
      <c r="C55" s="89" t="str">
        <f t="shared" ca="1" si="10"/>
        <v>Vollständig</v>
      </c>
      <c r="D55" s="95" t="str">
        <f>IF(H55=1,"Click here to answer question (B)","")</f>
        <v/>
      </c>
      <c r="E55" s="20" t="s">
        <v>1302</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89" t="s">
        <v>5</v>
      </c>
      <c r="B56" s="89">
        <f>Declaration!G77</f>
        <v>0</v>
      </c>
      <c r="C56" s="89" t="str">
        <f t="shared" ca="1" si="10"/>
        <v>Vollständig</v>
      </c>
      <c r="D56" s="95" t="str">
        <f>IF(H56=1,"Click here to specify URL for question (B)","")</f>
        <v/>
      </c>
      <c r="E56" s="20"/>
      <c r="F56" s="94">
        <f>IF(AND(F55=1,B55="Yes"),1,0)</f>
        <v>0</v>
      </c>
      <c r="G56" s="70">
        <f>IF(LEN(B56)&gt;1,0,1)</f>
        <v>1</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1302</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1302</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1302</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1302</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1302</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1302</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1295</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15157</v>
      </c>
      <c r="B65" s="89"/>
      <c r="C65" s="89" t="str">
        <f t="shared" ca="1" si="13"/>
        <v>Vollständig</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1851</v>
      </c>
      <c r="B66" s="89"/>
      <c r="C66" s="89" t="str">
        <f t="shared" ca="1" si="13"/>
        <v>Vollständig</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1852</v>
      </c>
      <c r="B67" s="89"/>
      <c r="C67" s="89" t="str">
        <f t="shared" ca="1" si="13"/>
        <v>Vollständig</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1853</v>
      </c>
      <c r="B68" s="89"/>
      <c r="C68" s="89" t="str">
        <f t="shared" ca="1" si="13"/>
        <v>Vollständig</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Herbel Verena</cp:lastModifiedBy>
  <cp:lastPrinted>2023-07-26T06:06:05Z</cp:lastPrinted>
  <dcterms:created xsi:type="dcterms:W3CDTF">2010-06-21T21:00:23Z</dcterms:created>
  <dcterms:modified xsi:type="dcterms:W3CDTF">2023-07-26T06:23:04Z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